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tabRatio="812" activeTab="1"/>
  </bookViews>
  <sheets>
    <sheet name="Информация е-данни" sheetId="1" r:id="rId1"/>
    <sheet name="справка №1-БАЛАНС" sheetId="2" r:id="rId2"/>
    <sheet name="справка №2-ОТЧЕТ ЗА ДОХОДИТE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externalReferences>
    <externalReference r:id="rId12"/>
    <externalReference r:id="rId13"/>
  </externalReference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№4-ОСК'!$A$1:$N$35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<sst xmlns="http://schemas.openxmlformats.org/spreadsheetml/2006/main" count="1108" uniqueCount="932">
  <si>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</si>
  <si>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</si>
  <si>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</si>
  <si>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</si>
  <si>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</si>
  <si>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</si>
  <si>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</si>
  <si>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</si>
  <si>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</si>
  <si>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</si>
  <si>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</si>
  <si>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</si>
  <si>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</si>
  <si>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</si>
  <si>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</si>
  <si>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</si>
  <si>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</si>
  <si>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</si>
  <si>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</si>
  <si>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</si>
  <si>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</si>
  <si>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</si>
  <si>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</si>
  <si>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</si>
  <si>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</si>
  <si>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</si>
  <si>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</si>
  <si>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</si>
  <si>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</si>
  <si>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</si>
  <si>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</si>
  <si>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</si>
  <si>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</si>
  <si>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</si>
  <si>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</si>
  <si>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</si>
  <si>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</si>
  <si>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</si>
  <si>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</si>
  <si>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</si>
  <si>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</si>
  <si>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</si>
  <si>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</si>
  <si>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</si>
  <si>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</si>
  <si>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</si>
  <si>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</si>
  <si>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</si>
  <si>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</si>
  <si>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</si>
  <si>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</si>
  <si>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</si>
  <si>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</si>
  <si>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</si>
  <si>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</si>
  <si>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</si>
  <si>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</si>
  <si>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</si>
  <si>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</si>
  <si>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</si>
  <si>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</si>
  <si>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</si>
  <si>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</si>
  <si>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</si>
  <si>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</si>
  <si>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</si>
  <si>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</si>
  <si>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</si>
  <si>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</si>
  <si>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</si>
  <si>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</si>
  <si>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</si>
  <si>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</si>
  <si>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</si>
  <si>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</si>
  <si>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</si>
  <si>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</si>
  <si>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</si>
  <si>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</si>
  <si>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</si>
  <si>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</si>
  <si>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</si>
  <si>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</si>
  <si>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</si>
  <si>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</si>
  <si>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</si>
  <si>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</si>
  <si>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</si>
  <si>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</si>
  <si>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</si>
  <si>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</si>
  <si>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</si>
  <si>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</si>
  <si>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</si>
  <si>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</si>
  <si>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</si>
  <si>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</si>
  <si>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</si>
  <si>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</si>
  <si>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</si>
  <si>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</si>
  <si>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</si>
  <si>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</si>
  <si>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</si>
  <si>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</si>
  <si>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</si>
  <si>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</si>
  <si>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</si>
  <si>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</si>
  <si>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</si>
  <si>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</si>
  <si>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</si>
  <si>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</si>
  <si>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</si>
  <si>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</si>
  <si>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</si>
  <si>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</si>
  <si>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</si>
  <si>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</si>
  <si>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</si>
  <si>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</si>
  <si>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</si>
  <si>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</si>
  <si>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</si>
  <si>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</si>
  <si>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</si>
  <si>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</si>
  <si>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</si>
  <si>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</si>
  <si>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</si>
  <si>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</si>
  <si>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</si>
  <si>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</si>
  <si>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</si>
  <si>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</si>
  <si>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</si>
  <si>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</si>
  <si>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</si>
  <si>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</si>
  <si>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</si>
  <si>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</si>
  <si>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</si>
  <si>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</si>
  <si>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</si>
  <si>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</si>
  <si>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</si>
  <si>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</si>
  <si>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</si>
  <si>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</si>
  <si>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</si>
  <si>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</si>
  <si>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</si>
  <si>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</si>
  <si>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</si>
  <si>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</si>
  <si>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</si>
  <si>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</si>
  <si>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</si>
  <si>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</si>
  <si>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</si>
  <si>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</si>
  <si>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</si>
  <si>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</si>
  <si>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</si>
  <si>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</si>
  <si>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</si>
  <si>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</si>
  <si>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</si>
  <si>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</si>
  <si>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</si>
  <si>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</si>
  <si>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</si>
  <si>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</si>
  <si>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</si>
  <si>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</si>
  <si>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</si>
  <si>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</si>
  <si>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</si>
  <si>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</si>
  <si>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</si>
  <si>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</si>
  <si>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</si>
  <si>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</si>
  <si>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</si>
  <si>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</si>
  <si>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</si>
  <si>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</si>
  <si>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</si>
  <si>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</si>
  <si>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</si>
  <si>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</si>
  <si>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</si>
  <si>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</si>
  <si>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</si>
  <si>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</si>
  <si>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</si>
  <si>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</si>
  <si>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</si>
  <si>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</si>
  <si>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</si>
  <si>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</si>
  <si>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</si>
  <si>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</si>
  <si>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</si>
  <si>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</si>
  <si>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</si>
  <si>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</si>
  <si>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</si>
  <si>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</si>
  <si>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</si>
  <si>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</si>
  <si>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</si>
  <si>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</si>
  <si>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</si>
  <si>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</si>
  <si>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</si>
  <si>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</si>
  <si>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</si>
  <si>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</si>
  <si>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</si>
  <si>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</si>
  <si>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</si>
  <si>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</si>
  <si>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</si>
  <si>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</si>
  <si>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</si>
  <si>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</si>
  <si>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</si>
  <si>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</si>
  <si>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</si>
  <si>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</si>
  <si>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</si>
  <si>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</si>
  <si>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</si>
  <si>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</si>
  <si>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</si>
  <si>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</si>
  <si>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</si>
  <si>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</si>
  <si>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</si>
  <si>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</si>
  <si>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</si>
  <si>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</si>
  <si>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</si>
  <si>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</si>
  <si>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</si>
  <si>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</si>
  <si>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</si>
  <si>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</si>
  <si>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</si>
  <si>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</si>
  <si>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</si>
  <si>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</si>
  <si>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</si>
  <si>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</si>
  <si>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</si>
  <si>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</si>
  <si>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</si>
  <si>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</si>
  <si>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</si>
  <si>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</si>
  <si>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</si>
  <si>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</si>
  <si>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</si>
  <si>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</si>
  <si>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</si>
  <si>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</si>
  <si>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</si>
  <si>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</si>
  <si>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</si>
  <si>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</si>
  <si>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</si>
  <si>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</si>
  <si>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</si>
  <si>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</si>
  <si>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</si>
  <si>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</si>
  <si>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</si>
  <si>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</si>
  <si>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</si>
  <si>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</si>
  <si>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</si>
  <si>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</si>
  <si>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</si>
  <si>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</si>
  <si>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</si>
  <si>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</si>
  <si>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</si>
  <si>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</si>
  <si>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</si>
  <si>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</si>
  <si>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</si>
  <si>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</si>
  <si>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</si>
  <si>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</si>
  <si>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</si>
  <si>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</si>
  <si>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</si>
  <si>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</si>
  <si>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</si>
  <si>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</si>
  <si>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</si>
  <si>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</si>
  <si>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</si>
  <si>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</si>
  <si>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</si>
  <si>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</si>
  <si>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</si>
  <si>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</si>
  <si>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</si>
  <si>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</si>
  <si>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</si>
  <si>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</si>
  <si>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</si>
  <si>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</si>
  <si>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</si>
  <si>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</si>
  <si>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</si>
  <si>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</si>
  <si>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</si>
  <si>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</si>
  <si>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</si>
  <si>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</si>
  <si>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</si>
  <si>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</si>
  <si>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</si>
  <si>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</si>
  <si>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</si>
  <si>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</si>
  <si>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</si>
  <si>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</si>
  <si>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</si>
  <si>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</si>
  <si>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</si>
  <si>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</si>
  <si>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</si>
  <si>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</si>
  <si>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</si>
  <si>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</si>
  <si>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</si>
  <si>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</si>
  <si>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</si>
  <si>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</si>
  <si>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</si>
  <si>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</si>
  <si>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</si>
  <si>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</si>
  <si>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</si>
  <si>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</si>
  <si>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</si>
  <si>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</si>
  <si>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</si>
  <si>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</si>
  <si>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</si>
  <si>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</si>
  <si>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</si>
  <si>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</si>
  <si>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</si>
  <si>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</si>
  <si>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</si>
  <si>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</si>
  <si>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</si>
  <si>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</si>
  <si>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</si>
  <si>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</si>
  <si>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</si>
  <si>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</si>
  <si>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</si>
  <si>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</si>
  <si>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</si>
  <si>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</si>
  <si>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</si>
  <si>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</si>
  <si>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</si>
  <si>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</si>
  <si>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</si>
  <si>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</si>
  <si>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</si>
  <si>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</si>
  <si>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</si>
  <si>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</si>
  <si>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</si>
  <si>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</si>
  <si>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</si>
  <si>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</si>
  <si>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</si>
  <si>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</si>
  <si>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</si>
  <si>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</si>
  <si>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</si>
  <si>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</si>
  <si>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</si>
  <si>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</si>
  <si>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</si>
  <si>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</si>
  <si>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</si>
  <si>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</si>
  <si>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</si>
  <si>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</si>
  <si>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</si>
  <si>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</si>
  <si>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</si>
  <si>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</si>
  <si>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</si>
  <si>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</si>
  <si>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</si>
  <si>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</si>
  <si>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</si>
  <si>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</si>
  <si>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</si>
  <si>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</si>
  <si>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</si>
  <si>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</si>
  <si>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</si>
  <si>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</si>
  <si>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</si>
  <si>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</si>
  <si>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</si>
  <si>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</si>
  <si>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</si>
  <si>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</si>
  <si>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</si>
  <si>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</si>
  <si>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</si>
  <si>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</si>
  <si>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</si>
  <si>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</si>
  <si>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</si>
  <si>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</si>
  <si>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</si>
  <si>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</si>
  <si>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</si>
  <si>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</si>
  <si>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</si>
  <si>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</si>
  <si>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</si>
  <si>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</si>
  <si>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</si>
  <si>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</si>
  <si>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</si>
  <si>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</si>
  <si>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</si>
  <si>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</si>
  <si>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</si>
  <si>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</si>
  <si>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</si>
  <si>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</si>
  <si>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</si>
  <si>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</si>
  <si>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</si>
  <si>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</si>
  <si>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</si>
  <si>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</si>
  <si>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</si>
  <si>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</si>
  <si>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</si>
  <si>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</si>
  <si>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</si>
  <si>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</si>
  <si>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</si>
  <si>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</si>
  <si>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</si>
  <si>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</si>
  <si>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</si>
  <si>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</si>
  <si>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</si>
  <si>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</si>
  <si>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</si>
  <si>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</si>
  <si>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</si>
  <si>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</si>
  <si>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</si>
  <si>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</si>
  <si>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</si>
  <si>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</si>
  <si>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</si>
  <si>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</si>
  <si>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</si>
  <si>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</si>
  <si>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</si>
  <si>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</si>
  <si>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</si>
  <si>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</si>
  <si>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</si>
  <si>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</si>
  <si>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</si>
  <si>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</si>
  <si>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</si>
  <si>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</si>
  <si>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</si>
  <si>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</si>
  <si>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</si>
  <si>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</si>
  <si>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</si>
  <si>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</si>
  <si>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</si>
  <si>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</si>
  <si>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</si>
  <si>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</si>
  <si>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</si>
  <si>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</si>
  <si>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</si>
  <si>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</si>
  <si>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</si>
  <si>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</si>
  <si>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</si>
  <si>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</si>
  <si>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</si>
  <si>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</si>
  <si>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</si>
  <si>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</si>
  <si>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</si>
  <si>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</si>
  <si>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</si>
  <si>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</si>
  <si>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</si>
  <si>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</si>
  <si>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</si>
  <si>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</si>
  <si>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</si>
  <si>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</si>
  <si>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</si>
  <si>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</si>
  <si>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</si>
  <si>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</si>
  <si>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</si>
  <si>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</si>
  <si>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</si>
  <si>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</si>
  <si>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</si>
  <si>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</si>
  <si>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</si>
  <si>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</si>
  <si>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</si>
  <si>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</si>
  <si>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</si>
  <si>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</si>
  <si>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</si>
  <si>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</si>
  <si>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</si>
  <si>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</si>
  <si>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</si>
  <si>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</si>
  <si>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</si>
  <si>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</si>
  <si>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</si>
  <si>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</si>
  <si>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</si>
  <si>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</si>
  <si>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</si>
  <si>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</si>
  <si>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</si>
  <si>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</si>
  <si>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</si>
  <si>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</si>
  <si>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</si>
  <si>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</si>
  <si>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</si>
  <si>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</si>
  <si>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</si>
  <si>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</si>
  <si>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</si>
  <si>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</si>
  <si>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</si>
  <si>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</si>
  <si>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</si>
  <si>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</si>
  <si>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</si>
  <si>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</si>
  <si>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</si>
  <si>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</si>
  <si>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</si>
  <si>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</si>
  <si>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</si>
  <si>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</si>
  <si>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</si>
  <si>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</si>
  <si>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</si>
  <si>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</si>
  <si>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</si>
  <si>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</si>
  <si>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</si>
  <si>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</si>
  <si>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</si>
  <si>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</si>
  <si>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</si>
  <si>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</si>
  <si>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</si>
  <si>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</si>
  <si>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</si>
  <si>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</si>
  <si>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</si>
  <si>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</si>
  <si>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</si>
  <si>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</si>
  <si>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</si>
  <si>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</si>
  <si>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</si>
  <si>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</si>
  <si>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</si>
  <si>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</si>
  <si>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</si>
  <si>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</si>
  <si>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</si>
  <si>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</si>
  <si>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</si>
  <si>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</si>
  <si>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</si>
  <si>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</si>
  <si>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</si>
  <si>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</si>
  <si>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</si>
  <si>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</si>
  <si>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</si>
  <si>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</si>
  <si>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</si>
  <si>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</si>
  <si>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</si>
  <si>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</si>
  <si>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</si>
  <si>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</si>
  <si>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</si>
  <si>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</si>
  <si>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</si>
  <si>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</si>
  <si>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</si>
  <si>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</si>
  <si>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</si>
  <si>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</si>
  <si>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</si>
  <si>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</si>
  <si>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</si>
  <si>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</si>
  <si>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</si>
  <si>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</si>
  <si>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</si>
  <si>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</si>
  <si>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</si>
  <si>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</si>
  <si>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</si>
  <si>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</si>
  <si>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</si>
  <si>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</si>
  <si>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</si>
  <si>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</si>
  <si>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</si>
  <si>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</si>
  <si>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</si>
  <si>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</si>
  <si>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</si>
  <si>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</si>
  <si>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</si>
  <si>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</si>
  <si>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</si>
  <si>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</si>
  <si>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</si>
  <si>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</si>
  <si>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</si>
  <si>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</si>
  <si>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</si>
  <si>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</si>
  <si>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</si>
  <si>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</si>
  <si>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</si>
  <si>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</si>
  <si>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</si>
  <si>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</si>
  <si>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</si>
  <si>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</si>
  <si>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</si>
  <si>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</si>
  <si>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</si>
  <si>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</si>
  <si>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</si>
  <si>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</si>
  <si>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</si>
  <si>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</si>
  <si>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</si>
  <si>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</si>
  <si>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</si>
  <si>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</si>
  <si>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</si>
  <si>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</si>
  <si>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</si>
  <si>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</si>
  <si>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</si>
  <si>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</si>
  <si>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</si>
  <si>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</si>
  <si>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</si>
  <si>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</si>
  <si>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</si>
  <si>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</si>
  <si>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</si>
  <si>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</si>
  <si>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</si>
  <si>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</si>
  <si>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</si>
  <si>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</si>
  <si>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</si>
  <si>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</si>
  <si>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</si>
  <si>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</si>
  <si>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</si>
  <si>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</si>
  <si>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</si>
  <si>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</si>
  <si>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</si>
  <si>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</si>
  <si>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</si>
  <si>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</si>
  <si>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</si>
  <si>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</si>
  <si>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</si>
  <si>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</si>
  <si>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</si>
  <si>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</si>
  <si>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</si>
  <si>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</si>
  <si>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</si>
  <si>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</si>
  <si>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</si>
  <si>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</si>
  <si>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</si>
  <si>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</si>
  <si>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</si>
  <si>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</si>
  <si>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</si>
  <si>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</si>
  <si>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</si>
  <si>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</si>
  <si>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</si>
  <si>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</si>
  <si>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</si>
  <si>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</si>
  <si>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</si>
  <si>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</si>
  <si>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</si>
  <si>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</si>
  <si>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</si>
  <si>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</si>
  <si>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</si>
  <si>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</si>
  <si>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</si>
  <si>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</si>
  <si>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</si>
  <si>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</si>
  <si>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</si>
  <si>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</si>
  <si>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</si>
  <si>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</si>
  <si>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</si>
  <si>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</si>
  <si>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</si>
  <si>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</si>
  <si>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</si>
  <si>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</si>
  <si>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</si>
  <si>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</si>
  <si>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</si>
  <si>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</si>
  <si>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</si>
  <si>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</si>
  <si>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</si>
  <si>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</si>
  <si>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</si>
  <si>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</si>
  <si>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</si>
  <si>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</si>
  <si>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</si>
  <si>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</si>
  <si>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</si>
  <si>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</si>
  <si>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</si>
  <si>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</si>
  <si>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</si>
  <si>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</si>
  <si>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</si>
  <si>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</si>
  <si>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</si>
  <si>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</si>
  <si>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</si>
  <si>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</si>
  <si>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</si>
  <si>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</si>
  <si>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</si>
  <si>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</si>
  <si>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</si>
  <si>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</si>
  <si>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</si>
  <si>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</si>
  <si>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</si>
  <si>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</si>
  <si>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</si>
  <si>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</si>
  <si>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</si>
  <si>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</si>
  <si>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</si>
  <si>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</si>
  <si>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</si>
  <si>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</si>
  <si>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</si>
  <si>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</si>
  <si>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</si>
  <si>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</si>
  <si>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</si>
  <si>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</si>
  <si>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</si>
  <si>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</si>
  <si>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</si>
  <si>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</si>
  <si>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</si>
  <si>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</si>
  <si>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</si>
  <si>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</si>
  <si>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</si>
  <si>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</si>
  <si>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</si>
  <si>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</si>
  <si>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</si>
  <si>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</si>
  <si>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</si>
  <si>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</si>
  <si>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</si>
  <si>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</si>
  <si>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</si>
  <si>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</si>
  <si>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</si>
  <si>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</si>
  <si>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</si>
  <si>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</si>
  <si>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</si>
  <si>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</si>
  <si>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</si>
  <si>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</si>
  <si>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</si>
  <si>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</si>
  <si>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</si>
  <si>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</si>
  <si>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</si>
  <si>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</si>
  <si>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</si>
  <si>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</si>
  <si>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</si>
  <si>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</si>
  <si>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</si>
  <si>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</si>
  <si>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</si>
  <si>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</si>
  <si>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</si>
  <si>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</si>
  <si>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</si>
  <si>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</si>
  <si>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</si>
  <si>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</si>
  <si>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</si>
  <si>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</si>
  <si>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</si>
  <si>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</si>
  <si>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</si>
  <si>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</si>
  <si>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</si>
  <si>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</si>
  <si>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</si>
  <si>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</si>
  <si>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</si>
  <si>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</si>
  <si>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</si>
  <si>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</si>
  <si>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</si>
  <si>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Вписване в регистъра на: - Публични дружества и други емитенти на ЦК</t>
  </si>
  <si>
    <t>Наименоване на юридическото лице</t>
  </si>
  <si>
    <t>Отчетен период</t>
  </si>
  <si>
    <t>Обобщена информация</t>
  </si>
  <si>
    <t>Счетоводен баланс</t>
  </si>
  <si>
    <t xml:space="preserve"> * Забележка: Всички полета се попълват в хиляди лева.</t>
  </si>
  <si>
    <t>Собствен капитал</t>
  </si>
  <si>
    <t>текущ период</t>
  </si>
  <si>
    <t>предходен период</t>
  </si>
  <si>
    <t>Булгар Чех инвест Холдинг АД - Смолян</t>
  </si>
  <si>
    <t>БУЛСТАТ:</t>
  </si>
  <si>
    <t>за година:</t>
  </si>
  <si>
    <t>Финансов резултат</t>
  </si>
  <si>
    <t>Малцинствено участие</t>
  </si>
  <si>
    <t>Нетекущи пасиви</t>
  </si>
  <si>
    <t>Текущи пасиви</t>
  </si>
  <si>
    <t>Нетекущи активи</t>
  </si>
  <si>
    <t>Имоти, машини, съоръжения, оборудване</t>
  </si>
  <si>
    <t>Инвестиционни имоти</t>
  </si>
  <si>
    <t>Нетекущи финансови активи</t>
  </si>
  <si>
    <t>Нетекущи търговски и други вземания</t>
  </si>
  <si>
    <t>Нетекущи вземания от свързани предприятия</t>
  </si>
  <si>
    <t>Текущи активи</t>
  </si>
  <si>
    <t>Материални запаси</t>
  </si>
  <si>
    <t>Текущи търговски и други вземания</t>
  </si>
  <si>
    <t>Текущи вземания от свързани предприятия</t>
  </si>
  <si>
    <t>Текущи финансови активи</t>
  </si>
  <si>
    <t>Парични средства</t>
  </si>
  <si>
    <t>Общо активи</t>
  </si>
  <si>
    <t>Отчет за доходите</t>
  </si>
  <si>
    <t>Нетни приходи от продажби</t>
  </si>
  <si>
    <t>Финансови приходи</t>
  </si>
  <si>
    <t>Разходи по икономически елементи</t>
  </si>
  <si>
    <t>Разходи за материали</t>
  </si>
  <si>
    <t>Разходи за амортизация</t>
  </si>
  <si>
    <t>Финансови разходи</t>
  </si>
  <si>
    <t>Разходи за лихви</t>
  </si>
  <si>
    <t>Печалба / Загуба преди облагане с данъци</t>
  </si>
  <si>
    <t>Нетна печалба за периода</t>
  </si>
  <si>
    <t>Отчет за паричните потоци по прекия метод</t>
  </si>
  <si>
    <t>Постъпления от клиенти</t>
  </si>
  <si>
    <t>Плащания на доставчици</t>
  </si>
  <si>
    <t>Нетен паричен поток от оперативна дейност</t>
  </si>
  <si>
    <t>Постъпления от продажба на инвестиции</t>
  </si>
  <si>
    <t>Покупка на инвестиции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</si>
  <si>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</si>
  <si>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</si>
  <si>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</si>
  <si>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Приложения</t>
  </si>
  <si>
    <t>Консолидиран финансов отчет по МСС</t>
  </si>
  <si>
    <t>Счетоводна политика и обяснителни бележки / оповестявания към финансовия отчет</t>
  </si>
  <si>
    <t>Форми на финансови отчети, одобрени от Зам.Председателя, ръководещ Управление "Надзор на инвестиционната дейност" на КФН</t>
  </si>
  <si>
    <t>Информация, влияеща върху цената на ценните книжа, по чл. 28 от Наредба № 2, относно обстоятелства настъпили през изтеклото тримесечие</t>
  </si>
  <si>
    <t>Консолидиран</t>
  </si>
  <si>
    <t>Междинен консолидиран отчет на публично дружество и емитент на ценни книжа</t>
  </si>
  <si>
    <t>Годишен</t>
  </si>
  <si>
    <t xml:space="preserve"> 2009 г. 31.12 - годишен</t>
  </si>
  <si>
    <t>1 Унитех АД в ликвидация</t>
  </si>
  <si>
    <t>Дата на съставяне: 20.04.2010 г</t>
  </si>
  <si>
    <t>Заверил:</t>
  </si>
  <si>
    <t xml:space="preserve">                                       Ръководител…</t>
  </si>
  <si>
    <t>Заверил.......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</si>
</sst>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0.0"/>
    <numFmt numFmtId="191" formatCode="#,##0\ &quot;лв&quot;_-;#,##0\ &quot;лв&quot;\-"/>
    <numFmt numFmtId="192" formatCode="#,##0\ &quot;лв&quot;_-;[Red]#,##0\ &quot;лв&quot;\-"/>
    <numFmt numFmtId="193" formatCode="#,##0.00\ &quot;лв&quot;_-;#,##0.00\ &quot;лв&quot;\-"/>
    <numFmt numFmtId="194" formatCode="#,##0.00\ &quot;лв&quot;_-;[Red]#,##0.00\ &quot;лв&quot;\-"/>
    <numFmt numFmtId="195" formatCode="_-* #,##0\ &quot;лв&quot;_-;_-* #,##0\ &quot;лв&quot;\-;_-* &quot;-&quot;\ &quot;лв&quot;_-;_-@_-"/>
    <numFmt numFmtId="196" formatCode="_-* #,##0\ _л_в_-;_-* #,##0\ _л_в\-;_-* &quot;-&quot;\ _л_в_-;_-@_-"/>
    <numFmt numFmtId="197" formatCode="_-* #,##0.00\ &quot;лв&quot;_-;_-* #,##0.00\ &quot;лв&quot;\-;_-* &quot;-&quot;??\ &quot;лв&quot;_-;_-@_-"/>
    <numFmt numFmtId="198" formatCode="_-* #,##0.00\ _л_в_-;_-* #,##0.00\ _л_в\-;_-* &quot;-&quot;??\ _л_в_-;_-@_-"/>
    <numFmt numFmtId="199" formatCode="#,##0.00\ &quot;$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%"/>
    <numFmt numFmtId="204" formatCode="0.000"/>
    <numFmt numFmtId="205" formatCode="#,##0.0"/>
    <numFmt numFmtId="206" formatCode="#,##0.000"/>
    <numFmt numFmtId="207" formatCode="#,##0.0000"/>
    <numFmt numFmtId="208" formatCode="#,##0.00000"/>
    <numFmt numFmtId="209" formatCode="#,##0.00000\ &quot;$&quot;"/>
    <numFmt numFmtId="210" formatCode="#,##0.0000\ &quot;$&quot;"/>
    <numFmt numFmtId="211" formatCode="#,##0.000\ &quot;$&quot;"/>
    <numFmt numFmtId="212" formatCode="0.00_);\(0.00\)"/>
    <numFmt numFmtId="213" formatCode="0.00_);[Red]\(0.00\)"/>
    <numFmt numFmtId="214" formatCode="0.0_);\(0.0\)"/>
    <numFmt numFmtId="215" formatCode="0_);\(0\)"/>
    <numFmt numFmtId="216" formatCode="#,##0.0_);\(#,##0.0\)"/>
    <numFmt numFmtId="217" formatCode="0.000_);\(0.000\)"/>
    <numFmt numFmtId="218" formatCode="#,##0.000\ _$;\-#,##0.000\ _$"/>
  </numFmts>
  <fonts count="6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msCyr"/>
      <family val="0"/>
    </font>
    <font>
      <sz val="8"/>
      <name val="TmsCyr"/>
      <family val="0"/>
    </font>
    <font>
      <b/>
      <sz val="10"/>
      <color indexed="12"/>
      <name val="TmsCyr"/>
      <family val="0"/>
    </font>
    <font>
      <sz val="10"/>
      <color indexed="12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35" borderId="10" xfId="62" applyNumberFormat="1" applyFont="1" applyFill="1" applyBorder="1" applyAlignment="1" applyProtection="1">
      <alignment vertical="center" wrapText="1"/>
      <protection locked="0"/>
    </xf>
    <xf numFmtId="14" fontId="11" fillId="0" borderId="0" xfId="65" applyNumberFormat="1" applyFont="1" applyAlignment="1" applyProtection="1">
      <alignment wrapText="1"/>
      <protection locked="0"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1" fontId="11" fillId="0" borderId="0" xfId="65" applyNumberFormat="1" applyFont="1" applyFill="1" applyAlignment="1" applyProtection="1">
      <alignment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0" fontId="2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right" vertical="top" wrapText="1"/>
    </xf>
    <xf numFmtId="0" fontId="31" fillId="0" borderId="0" xfId="0" applyNumberFormat="1" applyFont="1" applyAlignment="1">
      <alignment vertical="top" wrapText="1"/>
    </xf>
    <xf numFmtId="0" fontId="31" fillId="0" borderId="0" xfId="0" applyNumberFormat="1" applyFont="1" applyAlignment="1">
      <alignment horizontal="left" vertical="top" wrapText="1"/>
    </xf>
    <xf numFmtId="0" fontId="29" fillId="0" borderId="40" xfId="0" applyNumberFormat="1" applyFont="1" applyBorder="1" applyAlignment="1">
      <alignment vertical="top" wrapText="1"/>
    </xf>
    <xf numFmtId="0" fontId="0" fillId="0" borderId="40" xfId="0" applyNumberFormat="1" applyBorder="1" applyAlignment="1">
      <alignment vertical="top" wrapText="1"/>
    </xf>
    <xf numFmtId="3" fontId="0" fillId="0" borderId="40" xfId="0" applyNumberForma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0" fontId="32" fillId="0" borderId="0" xfId="0" applyNumberFormat="1" applyFont="1" applyAlignment="1">
      <alignment vertical="top" wrapText="1"/>
    </xf>
    <xf numFmtId="14" fontId="31" fillId="0" borderId="0" xfId="0" applyNumberFormat="1" applyFont="1" applyAlignment="1">
      <alignment horizontal="left" vertical="top" wrapText="1"/>
    </xf>
    <xf numFmtId="1" fontId="13" fillId="0" borderId="0" xfId="67" applyNumberFormat="1" applyFont="1" applyBorder="1" applyProtection="1">
      <alignment/>
      <protection locked="0"/>
    </xf>
    <xf numFmtId="0" fontId="29" fillId="0" borderId="0" xfId="0" applyNumberFormat="1" applyFont="1" applyAlignment="1">
      <alignment horizontal="center" vertical="top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5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6\konsol_12_2006_god\12-2006_Konsol-reports_KCK_g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49.375" style="603" customWidth="1"/>
    <col min="2" max="2" width="17.125" style="603" customWidth="1"/>
    <col min="3" max="3" width="18.375" style="603" customWidth="1"/>
    <col min="4" max="16384" width="9.125" style="603" customWidth="1"/>
  </cols>
  <sheetData>
    <row r="1" spans="1:3" ht="25.5" customHeight="1">
      <c r="A1" s="614" t="s">
        <v>924</v>
      </c>
      <c r="B1" s="614"/>
      <c r="C1" s="614"/>
    </row>
    <row r="2" ht="25.5">
      <c r="A2" s="603" t="s">
        <v>870</v>
      </c>
    </row>
    <row r="3" spans="1:3" ht="12.75">
      <c r="A3" s="603" t="s">
        <v>871</v>
      </c>
      <c r="C3" s="604" t="s">
        <v>880</v>
      </c>
    </row>
    <row r="4" spans="1:3" ht="21" customHeight="1">
      <c r="A4" s="602" t="s">
        <v>879</v>
      </c>
      <c r="C4" s="602">
        <v>120054800</v>
      </c>
    </row>
    <row r="5" ht="15" customHeight="1"/>
    <row r="6" ht="23.25" customHeight="1">
      <c r="A6" s="603" t="s">
        <v>872</v>
      </c>
    </row>
    <row r="7" spans="1:3" ht="23.25" customHeight="1">
      <c r="A7" s="611" t="s">
        <v>923</v>
      </c>
      <c r="C7" s="603" t="s">
        <v>881</v>
      </c>
    </row>
    <row r="8" spans="1:3" ht="23.25" customHeight="1">
      <c r="A8" s="605" t="s">
        <v>925</v>
      </c>
      <c r="C8" s="612">
        <v>40178</v>
      </c>
    </row>
    <row r="9" spans="1:3" ht="23.25" customHeight="1">
      <c r="A9" s="605"/>
      <c r="C9" s="606"/>
    </row>
    <row r="10" spans="1:3" ht="23.25" customHeight="1">
      <c r="A10" s="603" t="s">
        <v>873</v>
      </c>
      <c r="B10" s="603" t="s">
        <v>877</v>
      </c>
      <c r="C10" s="603" t="s">
        <v>878</v>
      </c>
    </row>
    <row r="11" ht="23.25" customHeight="1">
      <c r="A11" s="603" t="s">
        <v>875</v>
      </c>
    </row>
    <row r="12" ht="23.25" customHeight="1"/>
    <row r="13" spans="1:3" ht="23.25" customHeight="1">
      <c r="A13" s="607" t="s">
        <v>874</v>
      </c>
      <c r="B13" s="609"/>
      <c r="C13" s="609"/>
    </row>
    <row r="14" spans="1:3" ht="23.25" customHeight="1">
      <c r="A14" s="608" t="s">
        <v>876</v>
      </c>
      <c r="B14" s="609">
        <f>'справка №1-БАЛАНС'!G36</f>
        <v>6510.417074</v>
      </c>
      <c r="C14" s="609">
        <f>'справка №1-БАЛАНС'!H36</f>
        <v>6238</v>
      </c>
    </row>
    <row r="15" spans="1:3" ht="23.25" customHeight="1">
      <c r="A15" s="608" t="s">
        <v>465</v>
      </c>
      <c r="B15" s="609">
        <f>'справка №1-БАЛАНС'!G12</f>
        <v>1191</v>
      </c>
      <c r="C15" s="609">
        <f>'справка №1-БАЛАНС'!H12</f>
        <v>1191</v>
      </c>
    </row>
    <row r="16" spans="1:3" ht="23.25" customHeight="1">
      <c r="A16" s="608" t="s">
        <v>882</v>
      </c>
      <c r="B16" s="609">
        <f>'справка №1-БАЛАНС'!G33</f>
        <v>2253.417074</v>
      </c>
      <c r="C16" s="609">
        <f>'справка №1-БАЛАНС'!H33</f>
        <v>1583</v>
      </c>
    </row>
    <row r="17" spans="1:3" ht="23.25" customHeight="1">
      <c r="A17" s="608" t="s">
        <v>883</v>
      </c>
      <c r="B17" s="609">
        <f>'справка №1-БАЛАНС'!G39</f>
        <v>1093.2569145552839</v>
      </c>
      <c r="C17" s="609">
        <f>'справка №1-БАЛАНС'!H39</f>
        <v>968.5</v>
      </c>
    </row>
    <row r="18" spans="1:3" ht="23.25" customHeight="1">
      <c r="A18" s="608" t="s">
        <v>884</v>
      </c>
      <c r="B18" s="609">
        <f>'справка №1-БАЛАНС'!G55</f>
        <v>243</v>
      </c>
      <c r="C18" s="609">
        <f>'справка №1-БАЛАНС'!H55</f>
        <v>270</v>
      </c>
    </row>
    <row r="19" spans="1:3" ht="23.25" customHeight="1">
      <c r="A19" s="608" t="s">
        <v>885</v>
      </c>
      <c r="B19" s="609">
        <f>'справка №1-БАЛАНС'!G79</f>
        <v>975</v>
      </c>
      <c r="C19" s="609">
        <f>'справка №1-БАЛАНС'!H79</f>
        <v>2424</v>
      </c>
    </row>
    <row r="20" spans="1:3" ht="23.25" customHeight="1">
      <c r="A20" s="608" t="s">
        <v>886</v>
      </c>
      <c r="B20" s="609">
        <f>'справка №1-БАЛАНС'!C55</f>
        <v>5268</v>
      </c>
      <c r="C20" s="609">
        <f>'справка №1-БАЛАНС'!D55</f>
        <v>5424</v>
      </c>
    </row>
    <row r="21" spans="1:3" ht="23.25" customHeight="1">
      <c r="A21" s="608" t="s">
        <v>887</v>
      </c>
      <c r="B21" s="609">
        <f>'справка №1-БАЛАНС'!C19</f>
        <v>3880</v>
      </c>
      <c r="C21" s="609">
        <f>'справка №1-БАЛАНС'!D19</f>
        <v>3652</v>
      </c>
    </row>
    <row r="22" spans="1:3" ht="23.25" customHeight="1">
      <c r="A22" s="608" t="s">
        <v>888</v>
      </c>
      <c r="B22" s="609">
        <f>'справка №1-БАЛАНС'!C20</f>
        <v>0</v>
      </c>
      <c r="C22" s="609">
        <f>'справка №1-БАЛАНС'!D20</f>
        <v>0</v>
      </c>
    </row>
    <row r="23" spans="1:3" ht="23.25" customHeight="1">
      <c r="A23" s="608" t="s">
        <v>889</v>
      </c>
      <c r="B23" s="609">
        <f>'справка №1-БАЛАНС'!C45</f>
        <v>526</v>
      </c>
      <c r="C23" s="609">
        <f>'справка №1-БАЛАНС'!D45</f>
        <v>513</v>
      </c>
    </row>
    <row r="24" spans="1:3" ht="23.25" customHeight="1">
      <c r="A24" s="608" t="s">
        <v>890</v>
      </c>
      <c r="B24" s="609">
        <f>'справка №1-БАЛАНС'!C51</f>
        <v>747</v>
      </c>
      <c r="C24" s="609">
        <f>'справка №1-БАЛАНС'!D51</f>
        <v>1149</v>
      </c>
    </row>
    <row r="25" spans="1:3" ht="23.25" customHeight="1">
      <c r="A25" s="608" t="s">
        <v>891</v>
      </c>
      <c r="B25" s="609">
        <f>'справка №1-БАЛАНС'!C47</f>
        <v>499</v>
      </c>
      <c r="C25" s="609">
        <f>'справка №1-БАЛАНС'!D47</f>
        <v>729</v>
      </c>
    </row>
    <row r="26" spans="1:3" ht="23.25" customHeight="1">
      <c r="A26" s="608" t="s">
        <v>892</v>
      </c>
      <c r="B26" s="609">
        <f>'справка №1-БАЛАНС'!C93</f>
        <v>3554</v>
      </c>
      <c r="C26" s="609">
        <f>'справка №1-БАЛАНС'!D93</f>
        <v>4477</v>
      </c>
    </row>
    <row r="27" spans="1:3" ht="23.25" customHeight="1">
      <c r="A27" s="608" t="s">
        <v>893</v>
      </c>
      <c r="B27" s="609">
        <f>'справка №1-БАЛАНС'!C64</f>
        <v>1398</v>
      </c>
      <c r="C27" s="609">
        <f>'справка №1-БАЛАНС'!D64</f>
        <v>1751</v>
      </c>
    </row>
    <row r="28" spans="1:3" ht="23.25" customHeight="1">
      <c r="A28" s="608" t="s">
        <v>894</v>
      </c>
      <c r="B28" s="609">
        <f>'справка №1-БАЛАНС'!C75</f>
        <v>1742</v>
      </c>
      <c r="C28" s="609">
        <f>'справка №1-БАЛАНС'!D75</f>
        <v>1948</v>
      </c>
    </row>
    <row r="29" spans="1:3" ht="23.25" customHeight="1">
      <c r="A29" s="608" t="s">
        <v>895</v>
      </c>
      <c r="B29" s="609">
        <f>'справка №1-БАЛАНС'!C67</f>
        <v>146</v>
      </c>
      <c r="C29" s="609">
        <f>'справка №1-БАЛАНС'!D67</f>
        <v>78</v>
      </c>
    </row>
    <row r="30" spans="1:3" ht="23.25" customHeight="1">
      <c r="A30" s="608" t="s">
        <v>896</v>
      </c>
      <c r="B30" s="609">
        <f>'справка №1-БАЛАНС'!C84</f>
        <v>14</v>
      </c>
      <c r="C30" s="609">
        <f>'справка №1-БАЛАНС'!D84</f>
        <v>14</v>
      </c>
    </row>
    <row r="31" spans="1:3" ht="23.25" customHeight="1">
      <c r="A31" s="608" t="s">
        <v>897</v>
      </c>
      <c r="B31" s="609">
        <f>'справка №1-БАЛАНС'!C91</f>
        <v>399</v>
      </c>
      <c r="C31" s="609">
        <f>'справка №1-БАЛАНС'!D91</f>
        <v>754</v>
      </c>
    </row>
    <row r="32" spans="1:3" ht="23.25" customHeight="1">
      <c r="A32" s="608" t="s">
        <v>898</v>
      </c>
      <c r="B32" s="609">
        <f>'справка №1-БАЛАНС'!C94</f>
        <v>8822</v>
      </c>
      <c r="C32" s="609">
        <f>'справка №1-БАЛАНС'!D94</f>
        <v>9901</v>
      </c>
    </row>
    <row r="33" spans="2:3" ht="23.25" customHeight="1">
      <c r="B33" s="610"/>
      <c r="C33" s="610"/>
    </row>
    <row r="34" spans="1:3" ht="23.25" customHeight="1">
      <c r="A34" s="607" t="s">
        <v>899</v>
      </c>
      <c r="B34" s="609"/>
      <c r="C34" s="609"/>
    </row>
    <row r="35" spans="1:3" ht="23.25" customHeight="1">
      <c r="A35" s="608" t="s">
        <v>900</v>
      </c>
      <c r="B35" s="609">
        <f>'справка №2-ОТЧЕТ ЗА ДОХОДИТE'!G13</f>
        <v>2072</v>
      </c>
      <c r="C35" s="609">
        <f>'справка №2-ОТЧЕТ ЗА ДОХОДИТE'!H13</f>
        <v>4453</v>
      </c>
    </row>
    <row r="36" spans="1:3" ht="23.25" customHeight="1">
      <c r="A36" s="608" t="s">
        <v>901</v>
      </c>
      <c r="B36" s="609">
        <f>'справка №2-ОТЧЕТ ЗА ДОХОДИТE'!G24</f>
        <v>331</v>
      </c>
      <c r="C36" s="609">
        <f>'справка №2-ОТЧЕТ ЗА ДОХОДИТE'!H24</f>
        <v>190</v>
      </c>
    </row>
    <row r="37" spans="1:3" ht="23.25" customHeight="1">
      <c r="A37" s="608" t="s">
        <v>902</v>
      </c>
      <c r="B37" s="609">
        <f>'справка №2-ОТЧЕТ ЗА ДОХОДИТE'!C19</f>
        <v>1709</v>
      </c>
      <c r="C37" s="609">
        <f>'справка №2-ОТЧЕТ ЗА ДОХОДИТE'!D19</f>
        <v>3357</v>
      </c>
    </row>
    <row r="38" spans="1:3" ht="23.25" customHeight="1">
      <c r="A38" s="608" t="s">
        <v>903</v>
      </c>
      <c r="B38" s="609">
        <f>'справка №2-ОТЧЕТ ЗА ДОХОДИТE'!C9</f>
        <v>245</v>
      </c>
      <c r="C38" s="609">
        <f>'справка №2-ОТЧЕТ ЗА ДОХОДИТE'!D9</f>
        <v>1353</v>
      </c>
    </row>
    <row r="39" spans="1:3" ht="23.25" customHeight="1">
      <c r="A39" s="608" t="s">
        <v>904</v>
      </c>
      <c r="B39" s="609">
        <f>'справка №2-ОТЧЕТ ЗА ДОХОДИТE'!C11</f>
        <v>135</v>
      </c>
      <c r="C39" s="609">
        <f>'справка №2-ОТЧЕТ ЗА ДОХОДИТE'!D11</f>
        <v>167</v>
      </c>
    </row>
    <row r="40" spans="1:3" ht="23.25" customHeight="1">
      <c r="A40" s="608" t="s">
        <v>905</v>
      </c>
      <c r="B40" s="609">
        <f>'справка №2-ОТЧЕТ ЗА ДОХОДИТE'!C26</f>
        <v>88</v>
      </c>
      <c r="C40" s="609">
        <f>'справка №2-ОТЧЕТ ЗА ДОХОДИТE'!D26</f>
        <v>113</v>
      </c>
    </row>
    <row r="41" spans="1:3" ht="23.25" customHeight="1">
      <c r="A41" s="608" t="s">
        <v>906</v>
      </c>
      <c r="B41" s="609">
        <f>'справка №2-ОТЧЕТ ЗА ДОХОДИТE'!C22</f>
        <v>51</v>
      </c>
      <c r="C41" s="609">
        <f>'справка №2-ОТЧЕТ ЗА ДОХОДИТE'!D22</f>
        <v>83</v>
      </c>
    </row>
    <row r="42" spans="1:3" ht="23.25" customHeight="1">
      <c r="A42" s="608" t="s">
        <v>907</v>
      </c>
      <c r="B42" s="609">
        <f>'справка №2-ОТЧЕТ ЗА ДОХОДИТE'!C34</f>
        <v>356.41707399999996</v>
      </c>
      <c r="C42" s="609">
        <f>'справка №2-ОТЧЕТ ЗА ДОХОДИТE'!D34</f>
        <v>684.2507820000001</v>
      </c>
    </row>
    <row r="43" spans="1:3" ht="23.25" customHeight="1">
      <c r="A43" s="608" t="s">
        <v>908</v>
      </c>
      <c r="B43" s="609">
        <f>'справка №2-ОТЧЕТ ЗА ДОХОДИТE'!C39</f>
        <v>299.41707399999996</v>
      </c>
      <c r="C43" s="609">
        <f>'справка №2-ОТЧЕТ ЗА ДОХОДИТE'!D39</f>
        <v>574.2507820000001</v>
      </c>
    </row>
    <row r="44" spans="2:3" ht="23.25" customHeight="1">
      <c r="B44" s="610"/>
      <c r="C44" s="610"/>
    </row>
    <row r="45" spans="1:3" ht="23.25" customHeight="1">
      <c r="A45" s="607" t="s">
        <v>909</v>
      </c>
      <c r="B45" s="609"/>
      <c r="C45" s="609"/>
    </row>
    <row r="46" spans="1:3" ht="23.25" customHeight="1">
      <c r="A46" s="608" t="s">
        <v>910</v>
      </c>
      <c r="B46" s="609">
        <f>'справка №3-ОПП по прекия метод'!C10</f>
        <v>2032</v>
      </c>
      <c r="C46" s="609">
        <f>'справка №3-ОПП по прекия метод'!D10</f>
        <v>2777</v>
      </c>
    </row>
    <row r="47" spans="1:3" ht="23.25" customHeight="1">
      <c r="A47" s="608" t="s">
        <v>911</v>
      </c>
      <c r="B47" s="609">
        <f>'справка №3-ОПП по прекия метод'!C11</f>
        <v>-1644</v>
      </c>
      <c r="C47" s="609">
        <f>'справка №3-ОПП по прекия метод'!D11</f>
        <v>-2541</v>
      </c>
    </row>
    <row r="48" spans="1:3" ht="23.25" customHeight="1">
      <c r="A48" s="608" t="s">
        <v>912</v>
      </c>
      <c r="B48" s="609">
        <f>'справка №3-ОПП по прекия метод'!C20</f>
        <v>-84</v>
      </c>
      <c r="C48" s="609">
        <f>'справка №3-ОПП по прекия метод'!D20</f>
        <v>-783</v>
      </c>
    </row>
    <row r="49" spans="1:3" ht="23.25" customHeight="1">
      <c r="A49" s="608" t="s">
        <v>913</v>
      </c>
      <c r="B49" s="609">
        <f>'справка №3-ОПП по прекия метод'!C28</f>
        <v>0</v>
      </c>
      <c r="C49" s="609">
        <f>'справка №3-ОПП по прекия метод'!D28</f>
        <v>17</v>
      </c>
    </row>
    <row r="50" spans="1:3" ht="23.25" customHeight="1">
      <c r="A50" s="608" t="s">
        <v>914</v>
      </c>
      <c r="B50" s="609">
        <f>'справка №3-ОПП по прекия метод'!C27</f>
        <v>0</v>
      </c>
      <c r="C50" s="609">
        <f>'справка №3-ОПП по прекия метод'!D27</f>
        <v>0</v>
      </c>
    </row>
    <row r="51" spans="1:3" ht="23.25" customHeight="1">
      <c r="A51" s="608" t="s">
        <v>915</v>
      </c>
      <c r="B51" s="609">
        <f>'справка №3-ОПП по прекия метод'!C32</f>
        <v>-298</v>
      </c>
      <c r="C51" s="609">
        <f>'справка №3-ОПП по прекия метод'!D32</f>
        <v>692</v>
      </c>
    </row>
    <row r="52" spans="1:3" ht="23.25" customHeight="1">
      <c r="A52" s="608" t="s">
        <v>916</v>
      </c>
      <c r="B52" s="609">
        <f>'справка №3-ОПП по прекия метод'!C42</f>
        <v>27</v>
      </c>
      <c r="C52" s="609">
        <f>'справка №3-ОПП по прекия метод'!D42</f>
        <v>62</v>
      </c>
    </row>
    <row r="53" spans="1:3" ht="23.25" customHeight="1">
      <c r="A53" s="608" t="s">
        <v>917</v>
      </c>
      <c r="B53" s="609">
        <f>'справка №3-ОПП по прекия метод'!C43</f>
        <v>-355</v>
      </c>
      <c r="C53" s="609">
        <f>'справка №3-ОПП по прекия метод'!D43</f>
        <v>-29</v>
      </c>
    </row>
    <row r="54" ht="23.25" customHeight="1"/>
    <row r="55" ht="23.25" customHeight="1">
      <c r="A55" s="603" t="s">
        <v>918</v>
      </c>
    </row>
    <row r="56" ht="23.25" customHeight="1">
      <c r="A56" s="603" t="s">
        <v>919</v>
      </c>
    </row>
    <row r="57" ht="23.25" customHeight="1">
      <c r="A57" s="603" t="s">
        <v>920</v>
      </c>
    </row>
    <row r="58" ht="23.25" customHeight="1">
      <c r="A58" s="603" t="s">
        <v>921</v>
      </c>
    </row>
    <row r="59" ht="23.25" customHeight="1">
      <c r="A59" s="603" t="s">
        <v>922</v>
      </c>
    </row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83">
      <selection activeCell="F100" sqref="F100:H100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926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149</v>
      </c>
      <c r="D11" s="204">
        <v>188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2708</v>
      </c>
      <c r="D12" s="204">
        <v>2357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228</v>
      </c>
      <c r="D13" s="204">
        <v>180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664</v>
      </c>
      <c r="D14" s="204">
        <v>688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11</v>
      </c>
      <c r="D15" s="204">
        <v>42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95</v>
      </c>
      <c r="D16" s="204">
        <v>120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1</v>
      </c>
      <c r="D17" s="204">
        <v>52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24</v>
      </c>
      <c r="D18" s="204">
        <v>25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3880</v>
      </c>
      <c r="D19" s="208">
        <f>SUM(D11:D18)</f>
        <v>3652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3066</v>
      </c>
      <c r="H21" s="209">
        <f>SUM(H22:H24)</f>
        <v>3464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1953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2</v>
      </c>
      <c r="D24" s="204">
        <v>5</v>
      </c>
      <c r="E24" s="292" t="s">
        <v>72</v>
      </c>
      <c r="F24" s="297" t="s">
        <v>73</v>
      </c>
      <c r="G24" s="205">
        <v>1057</v>
      </c>
      <c r="H24" s="205">
        <v>1511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3066</v>
      </c>
      <c r="H25" s="207">
        <f>H19+H20+H21</f>
        <v>3464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2</v>
      </c>
      <c r="D27" s="208">
        <f>SUM(D23:D26)</f>
        <v>5</v>
      </c>
      <c r="E27" s="308" t="s">
        <v>83</v>
      </c>
      <c r="F27" s="297" t="s">
        <v>84</v>
      </c>
      <c r="G27" s="207">
        <f>SUM(G28:G30)</f>
        <v>1954</v>
      </c>
      <c r="H27" s="207">
        <f>SUM(H28:H30)</f>
        <v>1009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v>2699</v>
      </c>
      <c r="H28" s="205">
        <v>1876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-745</v>
      </c>
      <c r="H29" s="390">
        <v>-867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99</v>
      </c>
      <c r="D30" s="204">
        <v>99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ДОХОДИТE'!C39</f>
        <v>299.41707399999996</v>
      </c>
      <c r="H31" s="205">
        <v>574</v>
      </c>
      <c r="M31" s="210"/>
    </row>
    <row r="32" spans="1:15" ht="15">
      <c r="A32" s="290" t="s">
        <v>98</v>
      </c>
      <c r="B32" s="305" t="s">
        <v>99</v>
      </c>
      <c r="C32" s="208">
        <f>C30+C31</f>
        <v>99</v>
      </c>
      <c r="D32" s="208">
        <f>D30+D31</f>
        <v>99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2253.417074</v>
      </c>
      <c r="H33" s="207">
        <f>H27+H31+H32</f>
        <v>1583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518</v>
      </c>
      <c r="D34" s="208">
        <f>SUM(D35:D38)</f>
        <v>505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f>'[2]справка №5'!S28</f>
        <v>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>
        <f>'[2]справка №5'!S29</f>
        <v>0</v>
      </c>
      <c r="E36" s="292" t="s">
        <v>110</v>
      </c>
      <c r="F36" s="316" t="s">
        <v>111</v>
      </c>
      <c r="G36" s="207">
        <f>G25+G17+G33</f>
        <v>6510.417074</v>
      </c>
      <c r="H36" s="207">
        <f>H25+H17+H33</f>
        <v>6238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445</v>
      </c>
      <c r="D37" s="204">
        <v>459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53</v>
      </c>
      <c r="D38" s="204">
        <v>46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H39+'справка №2-ОТЧЕТ ЗА ДОХОДИТE'!C40+'справка №2-ОТЧЕТ ЗА ДОХОДИТE'!G40*-1</f>
        <v>1093.2569145552839</v>
      </c>
      <c r="H39" s="211">
        <v>968.5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158</v>
      </c>
      <c r="H43" s="205">
        <v>146</v>
      </c>
      <c r="M43" s="210"/>
    </row>
    <row r="44" spans="1:8" ht="15">
      <c r="A44" s="290" t="s">
        <v>132</v>
      </c>
      <c r="B44" s="319" t="s">
        <v>133</v>
      </c>
      <c r="C44" s="204">
        <v>8</v>
      </c>
      <c r="D44" s="204">
        <v>8</v>
      </c>
      <c r="E44" s="323" t="s">
        <v>134</v>
      </c>
      <c r="F44" s="297" t="s">
        <v>135</v>
      </c>
      <c r="G44" s="205">
        <v>16</v>
      </c>
      <c r="H44" s="205">
        <v>38</v>
      </c>
    </row>
    <row r="45" spans="1:15" ht="15">
      <c r="A45" s="290" t="s">
        <v>136</v>
      </c>
      <c r="B45" s="304" t="s">
        <v>137</v>
      </c>
      <c r="C45" s="208">
        <f>C34+C39+C44</f>
        <v>526</v>
      </c>
      <c r="D45" s="208">
        <f>D34+D39+D44</f>
        <v>513</v>
      </c>
      <c r="E45" s="306" t="s">
        <v>138</v>
      </c>
      <c r="F45" s="297" t="s">
        <v>139</v>
      </c>
      <c r="G45" s="205"/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66</v>
      </c>
      <c r="H46" s="205">
        <v>60</v>
      </c>
    </row>
    <row r="47" spans="1:13" ht="15">
      <c r="A47" s="290" t="s">
        <v>143</v>
      </c>
      <c r="B47" s="296" t="s">
        <v>144</v>
      </c>
      <c r="C47" s="204">
        <v>499</v>
      </c>
      <c r="D47" s="204">
        <v>729</v>
      </c>
      <c r="E47" s="306" t="s">
        <v>145</v>
      </c>
      <c r="F47" s="297" t="s">
        <v>146</v>
      </c>
      <c r="G47" s="205"/>
      <c r="H47" s="205"/>
      <c r="M47" s="210"/>
    </row>
    <row r="48" spans="1:8" ht="15">
      <c r="A48" s="290" t="s">
        <v>147</v>
      </c>
      <c r="B48" s="299" t="s">
        <v>148</v>
      </c>
      <c r="C48" s="204">
        <v>248</v>
      </c>
      <c r="D48" s="204">
        <v>418</v>
      </c>
      <c r="E48" s="292" t="s">
        <v>149</v>
      </c>
      <c r="F48" s="297" t="s">
        <v>150</v>
      </c>
      <c r="G48" s="205">
        <v>3</v>
      </c>
      <c r="H48" s="205">
        <v>26</v>
      </c>
    </row>
    <row r="49" spans="1:18" ht="15">
      <c r="A49" s="290" t="s">
        <v>151</v>
      </c>
      <c r="B49" s="296" t="s">
        <v>152</v>
      </c>
      <c r="C49" s="204">
        <v>0</v>
      </c>
      <c r="D49" s="204"/>
      <c r="E49" s="306" t="s">
        <v>51</v>
      </c>
      <c r="F49" s="300" t="s">
        <v>153</v>
      </c>
      <c r="G49" s="207">
        <f>SUM(G43:G48)</f>
        <v>243</v>
      </c>
      <c r="H49" s="207">
        <f>SUM(H43:H48)</f>
        <v>270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0</v>
      </c>
      <c r="D50" s="204">
        <v>2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747</v>
      </c>
      <c r="D51" s="208">
        <f>SUM(D47:D50)</f>
        <v>1149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14</v>
      </c>
      <c r="D54" s="204">
        <v>6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5268</v>
      </c>
      <c r="D55" s="208">
        <f>D19+D20+D21+D27+D32+D45+D51+D53+D54</f>
        <v>5424</v>
      </c>
      <c r="E55" s="292" t="s">
        <v>172</v>
      </c>
      <c r="F55" s="316" t="s">
        <v>173</v>
      </c>
      <c r="G55" s="207">
        <f>G49+G51+G52+G53+G54</f>
        <v>243</v>
      </c>
      <c r="H55" s="207">
        <f>H49+H51+H52+H53+H54</f>
        <v>270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428</v>
      </c>
      <c r="D58" s="204">
        <v>788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259</v>
      </c>
      <c r="D59" s="204">
        <v>377</v>
      </c>
      <c r="E59" s="306" t="s">
        <v>181</v>
      </c>
      <c r="F59" s="297" t="s">
        <v>182</v>
      </c>
      <c r="G59" s="205">
        <v>69</v>
      </c>
      <c r="H59" s="205">
        <v>145</v>
      </c>
      <c r="M59" s="210"/>
    </row>
    <row r="60" spans="1:8" ht="15">
      <c r="A60" s="290" t="s">
        <v>183</v>
      </c>
      <c r="B60" s="296" t="s">
        <v>184</v>
      </c>
      <c r="C60" s="204">
        <v>36</v>
      </c>
      <c r="D60" s="204">
        <v>40</v>
      </c>
      <c r="E60" s="292" t="s">
        <v>185</v>
      </c>
      <c r="F60" s="297" t="s">
        <v>186</v>
      </c>
      <c r="G60" s="205"/>
      <c r="H60" s="205">
        <v>0</v>
      </c>
    </row>
    <row r="61" spans="1:18" ht="15">
      <c r="A61" s="290" t="s">
        <v>187</v>
      </c>
      <c r="B61" s="299" t="s">
        <v>188</v>
      </c>
      <c r="C61" s="204">
        <v>675</v>
      </c>
      <c r="D61" s="204">
        <v>546</v>
      </c>
      <c r="E61" s="298" t="s">
        <v>189</v>
      </c>
      <c r="F61" s="327" t="s">
        <v>190</v>
      </c>
      <c r="G61" s="207">
        <f>SUM(G62:G68)</f>
        <v>765</v>
      </c>
      <c r="H61" s="207">
        <f>SUM(H62:H68)</f>
        <v>1810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75</v>
      </c>
      <c r="H62" s="205">
        <v>189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205</v>
      </c>
      <c r="H63" s="205">
        <v>408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1398</v>
      </c>
      <c r="D64" s="208">
        <f>SUM(D58:D63)</f>
        <v>1751</v>
      </c>
      <c r="E64" s="292" t="s">
        <v>200</v>
      </c>
      <c r="F64" s="297" t="s">
        <v>201</v>
      </c>
      <c r="G64" s="205">
        <v>315</v>
      </c>
      <c r="H64" s="205">
        <v>783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89</v>
      </c>
      <c r="H65" s="205">
        <v>29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32</v>
      </c>
      <c r="H66" s="205">
        <v>235</v>
      </c>
    </row>
    <row r="67" spans="1:8" ht="15">
      <c r="A67" s="290" t="s">
        <v>207</v>
      </c>
      <c r="B67" s="296" t="s">
        <v>208</v>
      </c>
      <c r="C67" s="204">
        <v>146</v>
      </c>
      <c r="D67" s="204">
        <v>78</v>
      </c>
      <c r="E67" s="292" t="s">
        <v>209</v>
      </c>
      <c r="F67" s="297" t="s">
        <v>210</v>
      </c>
      <c r="G67" s="205">
        <v>4</v>
      </c>
      <c r="H67" s="205">
        <v>26</v>
      </c>
    </row>
    <row r="68" spans="1:8" ht="15">
      <c r="A68" s="290" t="s">
        <v>211</v>
      </c>
      <c r="B68" s="296" t="s">
        <v>212</v>
      </c>
      <c r="C68" s="204">
        <v>979</v>
      </c>
      <c r="D68" s="204">
        <v>1249</v>
      </c>
      <c r="E68" s="292" t="s">
        <v>213</v>
      </c>
      <c r="F68" s="297" t="s">
        <v>214</v>
      </c>
      <c r="G68" s="205">
        <v>45</v>
      </c>
      <c r="H68" s="205">
        <v>140</v>
      </c>
    </row>
    <row r="69" spans="1:8" ht="15">
      <c r="A69" s="290" t="s">
        <v>215</v>
      </c>
      <c r="B69" s="296" t="s">
        <v>216</v>
      </c>
      <c r="C69" s="204">
        <v>3</v>
      </c>
      <c r="D69" s="204">
        <v>3</v>
      </c>
      <c r="E69" s="306" t="s">
        <v>78</v>
      </c>
      <c r="F69" s="297" t="s">
        <v>217</v>
      </c>
      <c r="G69" s="205">
        <v>141</v>
      </c>
      <c r="H69" s="205">
        <v>265</v>
      </c>
    </row>
    <row r="70" spans="1:8" ht="15">
      <c r="A70" s="290" t="s">
        <v>218</v>
      </c>
      <c r="B70" s="296" t="s">
        <v>219</v>
      </c>
      <c r="C70" s="204">
        <v>3</v>
      </c>
      <c r="D70" s="204">
        <v>41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/>
      <c r="E71" s="308" t="s">
        <v>46</v>
      </c>
      <c r="F71" s="328" t="s">
        <v>224</v>
      </c>
      <c r="G71" s="214">
        <f>G59+G60+G61+G69+G70</f>
        <v>975</v>
      </c>
      <c r="H71" s="214">
        <f>H59+H60+H61+H69+H70</f>
        <v>2220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190</v>
      </c>
      <c r="D72" s="204">
        <v>77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f>362+59</f>
        <v>421</v>
      </c>
      <c r="D74" s="204">
        <v>500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1742</v>
      </c>
      <c r="D75" s="208">
        <f>SUM(D67:D74)</f>
        <v>1948</v>
      </c>
      <c r="E75" s="306" t="s">
        <v>160</v>
      </c>
      <c r="F75" s="300" t="s">
        <v>234</v>
      </c>
      <c r="G75" s="205">
        <v>0</v>
      </c>
      <c r="H75" s="205">
        <v>204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975</v>
      </c>
      <c r="H79" s="215">
        <f>H71+H74+H75+H76</f>
        <v>2424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14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14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100</v>
      </c>
      <c r="D87" s="204">
        <v>100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299</v>
      </c>
      <c r="D88" s="204">
        <v>654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>
        <v>0</v>
      </c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399</v>
      </c>
      <c r="D91" s="208">
        <f>SUM(D87:D90)</f>
        <v>754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1</v>
      </c>
      <c r="D92" s="204">
        <v>10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3554</v>
      </c>
      <c r="D93" s="208">
        <f>D64+D75+D84+D91+D92</f>
        <v>4477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8822</v>
      </c>
      <c r="D94" s="217">
        <f>D93+D55</f>
        <v>9901</v>
      </c>
      <c r="E94" s="556" t="s">
        <v>270</v>
      </c>
      <c r="F94" s="344" t="s">
        <v>271</v>
      </c>
      <c r="G94" s="218">
        <f>G36+G39+G55+G79</f>
        <v>8821.673988555283</v>
      </c>
      <c r="H94" s="218">
        <f>H36+H39+H55+H79</f>
        <v>9900.5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-0.32601144471664156</v>
      </c>
      <c r="H97" s="225"/>
      <c r="M97" s="210"/>
    </row>
    <row r="98" spans="1:13" ht="15">
      <c r="A98" s="78" t="s">
        <v>928</v>
      </c>
      <c r="B98" s="538"/>
      <c r="C98" s="615" t="s">
        <v>819</v>
      </c>
      <c r="D98" s="615"/>
      <c r="E98" s="615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15" t="s">
        <v>781</v>
      </c>
      <c r="D100" s="616"/>
      <c r="E100" s="616"/>
      <c r="F100" s="615" t="s">
        <v>929</v>
      </c>
      <c r="G100" s="616"/>
      <c r="H100" s="616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362204724409449" right="0.2362204724409449" top="0.2362204724409449" bottom="0.3937007874015748" header="0.2362204724409449" footer="0.15748031496062992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8">
      <selection activeCell="E52" sqref="E52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19" t="s">
        <v>2</v>
      </c>
      <c r="G2" s="619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2009 г. 31.12 - годишен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245</v>
      </c>
      <c r="D9" s="79">
        <v>1353</v>
      </c>
      <c r="E9" s="362" t="s">
        <v>283</v>
      </c>
      <c r="F9" s="364" t="s">
        <v>284</v>
      </c>
      <c r="G9" s="87">
        <v>1013</v>
      </c>
      <c r="H9" s="87">
        <v>2535</v>
      </c>
    </row>
    <row r="10" spans="1:8" ht="12">
      <c r="A10" s="362" t="s">
        <v>285</v>
      </c>
      <c r="B10" s="363" t="s">
        <v>286</v>
      </c>
      <c r="C10" s="79">
        <v>1070</v>
      </c>
      <c r="D10" s="79">
        <v>436</v>
      </c>
      <c r="E10" s="362" t="s">
        <v>287</v>
      </c>
      <c r="F10" s="364" t="s">
        <v>288</v>
      </c>
      <c r="G10" s="87">
        <v>221</v>
      </c>
      <c r="H10" s="87">
        <v>334</v>
      </c>
    </row>
    <row r="11" spans="1:8" ht="12">
      <c r="A11" s="362" t="s">
        <v>289</v>
      </c>
      <c r="B11" s="363" t="s">
        <v>290</v>
      </c>
      <c r="C11" s="79">
        <v>135</v>
      </c>
      <c r="D11" s="79">
        <v>167</v>
      </c>
      <c r="E11" s="365" t="s">
        <v>291</v>
      </c>
      <c r="F11" s="364" t="s">
        <v>292</v>
      </c>
      <c r="G11" s="87">
        <v>89</v>
      </c>
      <c r="H11" s="87">
        <v>204</v>
      </c>
    </row>
    <row r="12" spans="1:8" ht="12">
      <c r="A12" s="362" t="s">
        <v>293</v>
      </c>
      <c r="B12" s="363" t="s">
        <v>294</v>
      </c>
      <c r="C12" s="79">
        <v>242</v>
      </c>
      <c r="D12" s="79">
        <v>748</v>
      </c>
      <c r="E12" s="365" t="s">
        <v>78</v>
      </c>
      <c r="F12" s="364" t="s">
        <v>295</v>
      </c>
      <c r="G12" s="87">
        <v>749</v>
      </c>
      <c r="H12" s="87">
        <v>1380</v>
      </c>
    </row>
    <row r="13" spans="1:18" ht="12">
      <c r="A13" s="362" t="s">
        <v>296</v>
      </c>
      <c r="B13" s="363" t="s">
        <v>297</v>
      </c>
      <c r="C13" s="79">
        <v>43</v>
      </c>
      <c r="D13" s="79">
        <v>147</v>
      </c>
      <c r="E13" s="366" t="s">
        <v>51</v>
      </c>
      <c r="F13" s="367" t="s">
        <v>298</v>
      </c>
      <c r="G13" s="88">
        <f>SUM(G9:G12)</f>
        <v>2072</v>
      </c>
      <c r="H13" s="88">
        <f>SUM(H9:H12)</f>
        <v>4453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307</v>
      </c>
      <c r="D14" s="79">
        <v>623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-781</v>
      </c>
      <c r="D15" s="80">
        <v>-228</v>
      </c>
      <c r="E15" s="360" t="s">
        <v>303</v>
      </c>
      <c r="F15" s="369" t="s">
        <v>304</v>
      </c>
      <c r="G15" s="87">
        <v>5</v>
      </c>
      <c r="H15" s="87"/>
    </row>
    <row r="16" spans="1:8" ht="12">
      <c r="A16" s="362" t="s">
        <v>305</v>
      </c>
      <c r="B16" s="363" t="s">
        <v>306</v>
      </c>
      <c r="C16" s="80">
        <v>448</v>
      </c>
      <c r="D16" s="80">
        <v>111</v>
      </c>
      <c r="E16" s="362" t="s">
        <v>307</v>
      </c>
      <c r="F16" s="368" t="s">
        <v>308</v>
      </c>
      <c r="G16" s="89">
        <v>5</v>
      </c>
      <c r="H16" s="89"/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1709</v>
      </c>
      <c r="D19" s="82">
        <f>SUM(D9:D15)+D16</f>
        <v>3357</v>
      </c>
      <c r="E19" s="372" t="s">
        <v>315</v>
      </c>
      <c r="F19" s="368" t="s">
        <v>316</v>
      </c>
      <c r="G19" s="87">
        <v>119</v>
      </c>
      <c r="H19" s="87">
        <v>133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>
        <v>151</v>
      </c>
      <c r="H20" s="87">
        <v>54</v>
      </c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>
        <v>61</v>
      </c>
      <c r="H21" s="87"/>
    </row>
    <row r="22" spans="1:8" ht="24">
      <c r="A22" s="359" t="s">
        <v>322</v>
      </c>
      <c r="B22" s="374" t="s">
        <v>323</v>
      </c>
      <c r="C22" s="79">
        <v>51</v>
      </c>
      <c r="D22" s="79">
        <v>83</v>
      </c>
      <c r="E22" s="372" t="s">
        <v>324</v>
      </c>
      <c r="F22" s="368" t="s">
        <v>325</v>
      </c>
      <c r="G22" s="87"/>
      <c r="H22" s="87">
        <v>3</v>
      </c>
    </row>
    <row r="23" spans="1:8" ht="24">
      <c r="A23" s="362" t="s">
        <v>326</v>
      </c>
      <c r="B23" s="374" t="s">
        <v>327</v>
      </c>
      <c r="C23" s="79">
        <v>30</v>
      </c>
      <c r="D23" s="79">
        <v>0</v>
      </c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>
        <v>13</v>
      </c>
      <c r="E24" s="366" t="s">
        <v>103</v>
      </c>
      <c r="F24" s="369" t="s">
        <v>332</v>
      </c>
      <c r="G24" s="88">
        <f>SUM(G19:G23)</f>
        <v>331</v>
      </c>
      <c r="H24" s="88">
        <f>SUM(H19:H23)</f>
        <v>190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7</v>
      </c>
      <c r="D25" s="79">
        <v>17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88</v>
      </c>
      <c r="D26" s="82">
        <f>SUM(D22:D25)</f>
        <v>113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1797</v>
      </c>
      <c r="D28" s="83">
        <f>D26+D19</f>
        <v>3470</v>
      </c>
      <c r="E28" s="173" t="s">
        <v>337</v>
      </c>
      <c r="F28" s="369" t="s">
        <v>338</v>
      </c>
      <c r="G28" s="88">
        <f>G13+G15+G24</f>
        <v>2408</v>
      </c>
      <c r="H28" s="88">
        <f>H13+H15+H24</f>
        <v>4643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611</v>
      </c>
      <c r="D30" s="83">
        <f>IF((H28-D28)&gt;0,H28-D28,0)</f>
        <v>1173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>
        <f>C30*0.416666</f>
        <v>254.582926</v>
      </c>
      <c r="D31" s="79">
        <f>D30*0.416666</f>
        <v>488.749218</v>
      </c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2051.582926</v>
      </c>
      <c r="D33" s="82">
        <f>D28+D31+D32</f>
        <v>3958.749218</v>
      </c>
      <c r="E33" s="173" t="s">
        <v>351</v>
      </c>
      <c r="F33" s="369" t="s">
        <v>352</v>
      </c>
      <c r="G33" s="90">
        <f>G32+G31+G28</f>
        <v>2408</v>
      </c>
      <c r="H33" s="90">
        <f>H32+H31+H28</f>
        <v>4643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356.41707399999996</v>
      </c>
      <c r="D34" s="83">
        <f>IF((H33-D33)&gt;0,H33-D33,0)</f>
        <v>684.2507820000001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57</v>
      </c>
      <c r="D35" s="82">
        <f>D36+D37+D38</f>
        <v>110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>
        <v>67</v>
      </c>
      <c r="D36" s="79">
        <v>123</v>
      </c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>
        <v>-10</v>
      </c>
      <c r="D37" s="536">
        <v>-13</v>
      </c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299.41707399999996</v>
      </c>
      <c r="D39" s="568">
        <f>+IF((H33-D33-D35)&gt;0,H33-D33-D35,0)</f>
        <v>574.2507820000001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124.75691455528397</v>
      </c>
      <c r="D40" s="84">
        <f>D39*0.4166666</f>
        <v>239.27112088328124</v>
      </c>
      <c r="E40" s="173" t="s">
        <v>369</v>
      </c>
      <c r="F40" s="174" t="s">
        <v>371</v>
      </c>
      <c r="G40" s="87">
        <f>G39*0.416666</f>
        <v>0</v>
      </c>
      <c r="H40" s="87"/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174.660159444716</v>
      </c>
      <c r="D41" s="85">
        <f>IF(H39=0,IF(D39-D40&gt;0,D39-D40+H40,0),IF(H39-H40&lt;0,H40-H39+D39,0))</f>
        <v>334.97966111671883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2408</v>
      </c>
      <c r="D42" s="86">
        <f>D33+D35+D39</f>
        <v>4643</v>
      </c>
      <c r="E42" s="176" t="s">
        <v>378</v>
      </c>
      <c r="F42" s="177" t="s">
        <v>379</v>
      </c>
      <c r="G42" s="90">
        <f>G39+G33</f>
        <v>2408</v>
      </c>
      <c r="H42" s="90">
        <f>H39+H33</f>
        <v>4643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17"/>
      <c r="E44" s="617"/>
      <c r="F44" s="617"/>
      <c r="G44" s="617"/>
      <c r="H44" s="617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 t="str">
        <f>'справка №1-БАЛАНС'!F100:H100</f>
        <v>Заверил:</v>
      </c>
      <c r="G45" s="533"/>
      <c r="H45" s="533"/>
    </row>
    <row r="46" spans="1:8" ht="12.75" customHeight="1">
      <c r="A46" s="31"/>
      <c r="B46" s="534"/>
      <c r="C46" s="532" t="s">
        <v>781</v>
      </c>
      <c r="D46" s="618"/>
      <c r="E46" s="618"/>
      <c r="F46" s="618"/>
      <c r="G46" s="618"/>
      <c r="H46" s="618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B53" sqref="B53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24">
      <c r="A6" s="6" t="s">
        <v>5</v>
      </c>
      <c r="B6" s="532" t="str">
        <f>'справка №1-БАЛАНС'!E5</f>
        <v> 2009 г. 31.12 - годишен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f>1911+121</f>
        <v>2032</v>
      </c>
      <c r="D10" s="92">
        <f>2782-5</f>
        <v>2777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-1644</v>
      </c>
      <c r="D11" s="92">
        <v>-2541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-347</v>
      </c>
      <c r="D13" s="92">
        <v>-901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-8</v>
      </c>
      <c r="D14" s="92">
        <v>91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-104</v>
      </c>
      <c r="D15" s="92">
        <v>-127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19</v>
      </c>
      <c r="D16" s="92">
        <v>31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-33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-11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-32</v>
      </c>
      <c r="D19" s="92">
        <v>-69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-84</v>
      </c>
      <c r="D20" s="93">
        <f>SUM(D10:D19)</f>
        <v>-783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-132</v>
      </c>
      <c r="D22" s="92">
        <f>-204-85</f>
        <v>-289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69</v>
      </c>
      <c r="D23" s="92">
        <v>976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-62</v>
      </c>
      <c r="D24" s="92">
        <v>-33</v>
      </c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>
        <v>2</v>
      </c>
      <c r="D25" s="92">
        <v>18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0</v>
      </c>
      <c r="D26" s="92">
        <v>3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0</v>
      </c>
      <c r="D27" s="92">
        <v>0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>
        <v>17</v>
      </c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>
        <f>'справка №2-ОТЧЕТ ЗА ДОХОДИТE'!G20-88</f>
        <v>63</v>
      </c>
      <c r="D29" s="92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-238</v>
      </c>
      <c r="D31" s="92"/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-298</v>
      </c>
      <c r="D32" s="93">
        <f>SUM(D22:D31)</f>
        <v>692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/>
      <c r="D34" s="92"/>
      <c r="E34" s="180"/>
      <c r="F34" s="180"/>
      <c r="G34" s="181"/>
    </row>
    <row r="35" spans="1:7" ht="12">
      <c r="A35" s="411" t="s">
        <v>433</v>
      </c>
      <c r="B35" s="410" t="s">
        <v>434</v>
      </c>
      <c r="C35" s="92"/>
      <c r="D35" s="92"/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112</v>
      </c>
      <c r="D36" s="92">
        <v>400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-75</v>
      </c>
      <c r="D37" s="92">
        <v>-436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0</v>
      </c>
      <c r="D38" s="92">
        <v>-3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-4</v>
      </c>
      <c r="D39" s="92">
        <v>19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/>
      <c r="D40" s="92"/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-6</v>
      </c>
      <c r="D41" s="92">
        <v>82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27</v>
      </c>
      <c r="D42" s="93">
        <f>SUM(D34:D41)</f>
        <v>62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-355</v>
      </c>
      <c r="D43" s="93">
        <f>D42+D32+D20</f>
        <v>-29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754</v>
      </c>
      <c r="D44" s="183">
        <v>783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399</v>
      </c>
      <c r="D45" s="93">
        <f>D44+D43</f>
        <v>754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399</v>
      </c>
      <c r="D46" s="94">
        <f>'справка №1-БАЛАНС'!D87+'справка №1-БАЛАНС'!D88</f>
        <v>754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20.04.2010 г</v>
      </c>
      <c r="B50" s="543" t="s">
        <v>381</v>
      </c>
      <c r="C50" s="620"/>
      <c r="D50" s="620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929</v>
      </c>
      <c r="C52" s="620"/>
      <c r="D52" s="620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selection activeCell="L36" sqref="L3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1" t="s">
        <v>459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23" t="str">
        <f>'справка №1-БАЛАНС'!E3</f>
        <v>Булгар Чех Инвест Холдинг АД - Смолян</v>
      </c>
      <c r="D3" s="624"/>
      <c r="E3" s="624"/>
      <c r="F3" s="624"/>
      <c r="G3" s="624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23" t="str">
        <f>'справка №1-БАЛАНС'!E4</f>
        <v>КОНСОЛИДИРАН </v>
      </c>
      <c r="D4" s="623"/>
      <c r="E4" s="625"/>
      <c r="F4" s="623"/>
      <c r="G4" s="623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23" t="str">
        <f>'справка №1-БАЛАНС'!E5</f>
        <v> 2009 г. 31.12 - годишен</v>
      </c>
      <c r="D5" s="624"/>
      <c r="E5" s="624"/>
      <c r="F5" s="624"/>
      <c r="G5" s="624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1953</v>
      </c>
      <c r="G11" s="96">
        <f>'справка №1-БАЛАНС'!H23</f>
        <v>0</v>
      </c>
      <c r="H11" s="98">
        <v>1511</v>
      </c>
      <c r="I11" s="96">
        <f>'справка №1-БАЛАНС'!H28+'справка №1-БАЛАНС'!H31</f>
        <v>2450</v>
      </c>
      <c r="J11" s="96">
        <f>'справка №1-БАЛАНС'!H29+'справка №1-БАЛАНС'!H32</f>
        <v>-867</v>
      </c>
      <c r="K11" s="98"/>
      <c r="L11" s="423">
        <f>SUM(C11:K11)</f>
        <v>6238</v>
      </c>
      <c r="M11" s="96">
        <f>'справка №1-БАЛАНС'!H39</f>
        <v>968.5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1953</v>
      </c>
      <c r="G15" s="99">
        <f t="shared" si="2"/>
        <v>0</v>
      </c>
      <c r="H15" s="99">
        <f t="shared" si="2"/>
        <v>1511</v>
      </c>
      <c r="I15" s="99">
        <f t="shared" si="2"/>
        <v>2450</v>
      </c>
      <c r="J15" s="99">
        <f t="shared" si="2"/>
        <v>-867</v>
      </c>
      <c r="K15" s="99">
        <f t="shared" si="2"/>
        <v>0</v>
      </c>
      <c r="L15" s="423">
        <f t="shared" si="1"/>
        <v>6238</v>
      </c>
      <c r="M15" s="99">
        <f t="shared" si="2"/>
        <v>968.5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299.41707399999996</v>
      </c>
      <c r="J16" s="424">
        <f>+'справка №1-БАЛАНС'!G32</f>
        <v>0</v>
      </c>
      <c r="K16" s="98"/>
      <c r="L16" s="423">
        <f t="shared" si="1"/>
        <v>299.41707399999996</v>
      </c>
      <c r="M16" s="98">
        <f>'справка №2-ОТЧЕТ ЗА ДОХОДИТE'!C40+('справка №2-ОТЧЕТ ЗА ДОХОДИТE'!G40*-1)</f>
        <v>124.75691455528397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56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120</v>
      </c>
      <c r="K17" s="100">
        <f t="shared" si="3"/>
        <v>0</v>
      </c>
      <c r="L17" s="423">
        <f t="shared" si="1"/>
        <v>176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>
        <f>2009-1953</f>
        <v>56</v>
      </c>
      <c r="G19" s="98"/>
      <c r="H19" s="98"/>
      <c r="I19" s="98"/>
      <c r="J19" s="98">
        <v>120</v>
      </c>
      <c r="K19" s="98"/>
      <c r="L19" s="423">
        <f t="shared" si="1"/>
        <v>176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>
        <v>-454</v>
      </c>
      <c r="I28" s="98">
        <f>104+145</f>
        <v>249</v>
      </c>
      <c r="J28" s="98">
        <v>2</v>
      </c>
      <c r="K28" s="98"/>
      <c r="L28" s="423">
        <f t="shared" si="1"/>
        <v>-203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1057</v>
      </c>
      <c r="I29" s="97">
        <f t="shared" si="6"/>
        <v>2998.417074</v>
      </c>
      <c r="J29" s="97">
        <f t="shared" si="6"/>
        <v>-745</v>
      </c>
      <c r="K29" s="97">
        <f t="shared" si="6"/>
        <v>0</v>
      </c>
      <c r="L29" s="423">
        <f t="shared" si="1"/>
        <v>6510.417074</v>
      </c>
      <c r="M29" s="97">
        <f t="shared" si="6"/>
        <v>1093.2569145552839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1057</v>
      </c>
      <c r="I32" s="97">
        <f t="shared" si="7"/>
        <v>2998.417074</v>
      </c>
      <c r="J32" s="97">
        <f t="shared" si="7"/>
        <v>-745</v>
      </c>
      <c r="K32" s="97">
        <f t="shared" si="7"/>
        <v>0</v>
      </c>
      <c r="L32" s="423">
        <f t="shared" si="1"/>
        <v>6510.417074</v>
      </c>
      <c r="M32" s="97">
        <f>M29+M30+M31</f>
        <v>1093.2569145552839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13">
        <f>L32-'справка №1-БАЛАНС'!G36</f>
        <v>0</v>
      </c>
      <c r="M34" s="428"/>
      <c r="N34" s="19"/>
    </row>
    <row r="35" spans="1:14" ht="12">
      <c r="A35" s="560" t="str">
        <f>'справка №1-БАЛАНС'!A98</f>
        <v>Дата на съставяне: 20.04.2010 г</v>
      </c>
      <c r="B35" s="37"/>
      <c r="C35" s="24"/>
      <c r="D35" s="622" t="s">
        <v>521</v>
      </c>
      <c r="E35" s="622"/>
      <c r="F35" s="622" t="s">
        <v>930</v>
      </c>
      <c r="G35" s="622"/>
      <c r="H35" s="622"/>
      <c r="I35" s="622"/>
      <c r="J35" s="24"/>
      <c r="K35" s="24"/>
      <c r="L35" s="622" t="s">
        <v>931</v>
      </c>
      <c r="M35" s="622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3">
      <selection activeCell="C45" sqref="C4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43" t="s">
        <v>383</v>
      </c>
      <c r="B2" s="636"/>
      <c r="C2" s="583"/>
      <c r="D2" s="583"/>
      <c r="E2" s="623" t="str">
        <f>'справка №1-БАЛАНС'!E3</f>
        <v>Булгар Чех Инвест Холдинг АД - Смолян</v>
      </c>
      <c r="F2" s="644"/>
      <c r="G2" s="644"/>
      <c r="H2" s="583"/>
      <c r="I2" s="440"/>
      <c r="J2" s="440"/>
      <c r="K2" s="440"/>
      <c r="L2" s="440"/>
      <c r="M2" s="639" t="s">
        <v>2</v>
      </c>
      <c r="N2" s="635"/>
      <c r="O2" s="635"/>
      <c r="P2" s="640">
        <f>'справка №1-БАЛАНС'!H3</f>
        <v>0</v>
      </c>
      <c r="Q2" s="640"/>
      <c r="R2" s="352"/>
    </row>
    <row r="3" spans="1:18" ht="15">
      <c r="A3" s="643" t="s">
        <v>5</v>
      </c>
      <c r="B3" s="636"/>
      <c r="C3" s="584"/>
      <c r="D3" s="584"/>
      <c r="E3" s="623" t="str">
        <f>'справка №1-БАЛАНС'!E5</f>
        <v> 2009 г. 31.12 - годишен</v>
      </c>
      <c r="F3" s="645"/>
      <c r="G3" s="645"/>
      <c r="H3" s="442"/>
      <c r="I3" s="442"/>
      <c r="J3" s="442"/>
      <c r="K3" s="442"/>
      <c r="L3" s="442"/>
      <c r="M3" s="641" t="s">
        <v>4</v>
      </c>
      <c r="N3" s="641"/>
      <c r="O3" s="575"/>
      <c r="P3" s="642" t="str">
        <f>'справка №1-БАЛАНС'!H4</f>
        <v> </v>
      </c>
      <c r="Q3" s="642"/>
      <c r="R3" s="353"/>
    </row>
    <row r="4" spans="1:18" ht="12.75">
      <c r="A4" s="435" t="s">
        <v>523</v>
      </c>
      <c r="B4" s="441"/>
      <c r="C4" s="441"/>
      <c r="D4" s="442"/>
      <c r="E4" s="626"/>
      <c r="F4" s="627"/>
      <c r="G4" s="627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8" t="s">
        <v>463</v>
      </c>
      <c r="B5" s="629"/>
      <c r="C5" s="632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7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7" t="s">
        <v>529</v>
      </c>
      <c r="R5" s="637" t="s">
        <v>530</v>
      </c>
    </row>
    <row r="6" spans="1:18" s="44" customFormat="1" ht="48">
      <c r="A6" s="630"/>
      <c r="B6" s="631"/>
      <c r="C6" s="633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8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8"/>
      <c r="R6" s="638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188</v>
      </c>
      <c r="E9" s="242">
        <v>30</v>
      </c>
      <c r="F9" s="242">
        <v>69</v>
      </c>
      <c r="G9" s="113">
        <f>D9+E9-F9</f>
        <v>149</v>
      </c>
      <c r="H9" s="103"/>
      <c r="I9" s="103"/>
      <c r="J9" s="113">
        <f>G9+H9-I9</f>
        <v>149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149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2692</v>
      </c>
      <c r="E10" s="242">
        <f>13+6+569+22+12</f>
        <v>622</v>
      </c>
      <c r="F10" s="242">
        <f>26+(2317-2248)+121</f>
        <v>216</v>
      </c>
      <c r="G10" s="113">
        <f aca="true" t="shared" si="2" ref="G10:G39">D10+E10-F10</f>
        <v>3098</v>
      </c>
      <c r="H10" s="103"/>
      <c r="I10" s="103"/>
      <c r="J10" s="113">
        <f aca="true" t="shared" si="3" ref="J10:J39">G10+H10-I10</f>
        <v>3098</v>
      </c>
      <c r="K10" s="103">
        <v>335</v>
      </c>
      <c r="L10" s="103">
        <f>49-22+6+13+22</f>
        <v>68</v>
      </c>
      <c r="M10" s="103">
        <v>13</v>
      </c>
      <c r="N10" s="113">
        <f aca="true" t="shared" si="4" ref="N10:N39">K10+L10-M10</f>
        <v>390</v>
      </c>
      <c r="O10" s="103"/>
      <c r="P10" s="103"/>
      <c r="Q10" s="113">
        <f t="shared" si="0"/>
        <v>390</v>
      </c>
      <c r="R10" s="113">
        <f t="shared" si="1"/>
        <v>2708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620</v>
      </c>
      <c r="E11" s="242">
        <f>6+2+42-21+9+38+1</f>
        <v>77</v>
      </c>
      <c r="F11" s="242">
        <f>181-168+5</f>
        <v>18</v>
      </c>
      <c r="G11" s="113">
        <f t="shared" si="2"/>
        <v>679</v>
      </c>
      <c r="H11" s="103"/>
      <c r="I11" s="103"/>
      <c r="J11" s="113">
        <f t="shared" si="3"/>
        <v>679</v>
      </c>
      <c r="K11" s="103">
        <v>440</v>
      </c>
      <c r="L11" s="103">
        <f>5+2+9</f>
        <v>16</v>
      </c>
      <c r="M11" s="103">
        <v>5</v>
      </c>
      <c r="N11" s="113">
        <f t="shared" si="4"/>
        <v>451</v>
      </c>
      <c r="O11" s="103"/>
      <c r="P11" s="103"/>
      <c r="Q11" s="113">
        <f t="shared" si="0"/>
        <v>451</v>
      </c>
      <c r="R11" s="113">
        <f t="shared" si="1"/>
        <v>228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732</v>
      </c>
      <c r="E12" s="242">
        <f>4+5+1</f>
        <v>10</v>
      </c>
      <c r="F12" s="242">
        <v>18</v>
      </c>
      <c r="G12" s="113">
        <f t="shared" si="2"/>
        <v>724</v>
      </c>
      <c r="H12" s="103"/>
      <c r="I12" s="103"/>
      <c r="J12" s="113">
        <f t="shared" si="3"/>
        <v>724</v>
      </c>
      <c r="K12" s="103">
        <v>44</v>
      </c>
      <c r="L12" s="103">
        <f>8+4+6</f>
        <v>18</v>
      </c>
      <c r="M12" s="103">
        <v>2</v>
      </c>
      <c r="N12" s="113">
        <f t="shared" si="4"/>
        <v>60</v>
      </c>
      <c r="O12" s="103"/>
      <c r="P12" s="103"/>
      <c r="Q12" s="113">
        <f t="shared" si="0"/>
        <v>60</v>
      </c>
      <c r="R12" s="113">
        <f t="shared" si="1"/>
        <v>664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175</v>
      </c>
      <c r="E13" s="242">
        <f>4+3</f>
        <v>7</v>
      </c>
      <c r="F13" s="242">
        <v>27</v>
      </c>
      <c r="G13" s="113">
        <f t="shared" si="2"/>
        <v>155</v>
      </c>
      <c r="H13" s="103"/>
      <c r="I13" s="103"/>
      <c r="J13" s="113">
        <f t="shared" si="3"/>
        <v>155</v>
      </c>
      <c r="K13" s="103">
        <v>133</v>
      </c>
      <c r="L13" s="103">
        <f>13</f>
        <v>13</v>
      </c>
      <c r="M13" s="103">
        <v>2</v>
      </c>
      <c r="N13" s="113">
        <f t="shared" si="4"/>
        <v>144</v>
      </c>
      <c r="O13" s="103"/>
      <c r="P13" s="103"/>
      <c r="Q13" s="113">
        <f t="shared" si="0"/>
        <v>144</v>
      </c>
      <c r="R13" s="113">
        <f t="shared" si="1"/>
        <v>11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148</v>
      </c>
      <c r="E14" s="242">
        <v>6</v>
      </c>
      <c r="F14" s="242">
        <v>20</v>
      </c>
      <c r="G14" s="113">
        <f t="shared" si="2"/>
        <v>134</v>
      </c>
      <c r="H14" s="103"/>
      <c r="I14" s="103"/>
      <c r="J14" s="113">
        <f t="shared" si="3"/>
        <v>134</v>
      </c>
      <c r="K14" s="103">
        <v>28</v>
      </c>
      <c r="L14" s="103">
        <f>4+2+6+1</f>
        <v>13</v>
      </c>
      <c r="M14" s="103">
        <v>2</v>
      </c>
      <c r="N14" s="113">
        <f t="shared" si="4"/>
        <v>39</v>
      </c>
      <c r="O14" s="103"/>
      <c r="P14" s="103"/>
      <c r="Q14" s="113">
        <f t="shared" si="0"/>
        <v>39</v>
      </c>
      <c r="R14" s="113">
        <f t="shared" si="1"/>
        <v>95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52</v>
      </c>
      <c r="E15" s="563">
        <f>1+109-53</f>
        <v>57</v>
      </c>
      <c r="F15" s="563">
        <f>56+39+13</f>
        <v>108</v>
      </c>
      <c r="G15" s="113">
        <f t="shared" si="2"/>
        <v>1</v>
      </c>
      <c r="H15" s="564"/>
      <c r="I15" s="564"/>
      <c r="J15" s="113">
        <f t="shared" si="3"/>
        <v>1</v>
      </c>
      <c r="K15" s="103">
        <v>0</v>
      </c>
      <c r="L15" s="564"/>
      <c r="M15" s="564"/>
      <c r="N15" s="113">
        <f t="shared" si="4"/>
        <v>0</v>
      </c>
      <c r="O15" s="564"/>
      <c r="P15" s="564"/>
      <c r="Q15" s="113">
        <f t="shared" si="0"/>
        <v>0</v>
      </c>
      <c r="R15" s="113">
        <f t="shared" si="1"/>
        <v>1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52</v>
      </c>
      <c r="E16" s="242">
        <f>28-9</f>
        <v>19</v>
      </c>
      <c r="F16" s="242">
        <f>17</f>
        <v>17</v>
      </c>
      <c r="G16" s="113">
        <f t="shared" si="2"/>
        <v>54</v>
      </c>
      <c r="H16" s="103"/>
      <c r="I16" s="103"/>
      <c r="J16" s="113">
        <f t="shared" si="3"/>
        <v>54</v>
      </c>
      <c r="K16" s="103">
        <v>27</v>
      </c>
      <c r="L16" s="103">
        <v>4</v>
      </c>
      <c r="M16" s="103">
        <v>1</v>
      </c>
      <c r="N16" s="113">
        <f t="shared" si="4"/>
        <v>30</v>
      </c>
      <c r="O16" s="103"/>
      <c r="P16" s="103"/>
      <c r="Q16" s="113">
        <f aca="true" t="shared" si="5" ref="Q16:Q25">N16+O16-P16</f>
        <v>30</v>
      </c>
      <c r="R16" s="113">
        <f aca="true" t="shared" si="6" ref="R16:R25">J16-Q16</f>
        <v>24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4659</v>
      </c>
      <c r="E17" s="247">
        <f>SUM(E9:E16)</f>
        <v>828</v>
      </c>
      <c r="F17" s="247">
        <f>SUM(F9:F16)</f>
        <v>493</v>
      </c>
      <c r="G17" s="113">
        <f t="shared" si="2"/>
        <v>4994</v>
      </c>
      <c r="H17" s="114">
        <f>SUM(H9:H16)</f>
        <v>0</v>
      </c>
      <c r="I17" s="114">
        <f>SUM(I9:I16)</f>
        <v>0</v>
      </c>
      <c r="J17" s="113">
        <f t="shared" si="3"/>
        <v>4994</v>
      </c>
      <c r="K17" s="114">
        <f>SUM(K9:K16)</f>
        <v>1007</v>
      </c>
      <c r="L17" s="114">
        <f>SUM(L9:L16)</f>
        <v>132</v>
      </c>
      <c r="M17" s="114">
        <f>SUM(M9:M16)</f>
        <v>25</v>
      </c>
      <c r="N17" s="113">
        <f t="shared" si="4"/>
        <v>1114</v>
      </c>
      <c r="O17" s="114">
        <f>SUM(O9:O16)</f>
        <v>0</v>
      </c>
      <c r="P17" s="114">
        <f>SUM(P9:P16)</f>
        <v>0</v>
      </c>
      <c r="Q17" s="113">
        <f t="shared" si="5"/>
        <v>1114</v>
      </c>
      <c r="R17" s="113">
        <f t="shared" si="6"/>
        <v>3880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f>25+2-2</f>
        <v>25</v>
      </c>
      <c r="E22" s="242"/>
      <c r="F22" s="242"/>
      <c r="G22" s="113">
        <f t="shared" si="2"/>
        <v>25</v>
      </c>
      <c r="H22" s="103"/>
      <c r="I22" s="103"/>
      <c r="J22" s="113">
        <f t="shared" si="3"/>
        <v>25</v>
      </c>
      <c r="K22" s="103">
        <v>20</v>
      </c>
      <c r="L22" s="103">
        <v>3</v>
      </c>
      <c r="M22" s="103"/>
      <c r="N22" s="113">
        <f t="shared" si="4"/>
        <v>23</v>
      </c>
      <c r="O22" s="103"/>
      <c r="P22" s="103"/>
      <c r="Q22" s="113">
        <f t="shared" si="5"/>
        <v>23</v>
      </c>
      <c r="R22" s="113">
        <f t="shared" si="6"/>
        <v>2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2"/>
        <v>1</v>
      </c>
      <c r="H23" s="103"/>
      <c r="I23" s="103"/>
      <c r="J23" s="113">
        <f t="shared" si="3"/>
        <v>1</v>
      </c>
      <c r="K23" s="103">
        <v>1</v>
      </c>
      <c r="L23" s="103"/>
      <c r="M23" s="103"/>
      <c r="N23" s="113">
        <f t="shared" si="4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2"/>
        <v>17</v>
      </c>
      <c r="H24" s="103"/>
      <c r="I24" s="103"/>
      <c r="J24" s="113">
        <f t="shared" si="3"/>
        <v>17</v>
      </c>
      <c r="K24" s="103">
        <v>17</v>
      </c>
      <c r="L24" s="103"/>
      <c r="M24" s="103"/>
      <c r="N24" s="113">
        <f t="shared" si="4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7" ref="E25:P25">SUM(E21:E24)</f>
        <v>0</v>
      </c>
      <c r="F25" s="243">
        <f t="shared" si="7"/>
        <v>0</v>
      </c>
      <c r="G25" s="105">
        <f t="shared" si="2"/>
        <v>43</v>
      </c>
      <c r="H25" s="104">
        <f t="shared" si="7"/>
        <v>0</v>
      </c>
      <c r="I25" s="104">
        <f t="shared" si="7"/>
        <v>0</v>
      </c>
      <c r="J25" s="105">
        <f t="shared" si="3"/>
        <v>43</v>
      </c>
      <c r="K25" s="104">
        <f t="shared" si="7"/>
        <v>38</v>
      </c>
      <c r="L25" s="104">
        <f t="shared" si="7"/>
        <v>3</v>
      </c>
      <c r="M25" s="104">
        <f t="shared" si="7"/>
        <v>0</v>
      </c>
      <c r="N25" s="105">
        <f t="shared" si="4"/>
        <v>41</v>
      </c>
      <c r="O25" s="104">
        <f t="shared" si="7"/>
        <v>0</v>
      </c>
      <c r="P25" s="104">
        <f t="shared" si="7"/>
        <v>0</v>
      </c>
      <c r="Q25" s="105">
        <f t="shared" si="5"/>
        <v>41</v>
      </c>
      <c r="R25" s="105">
        <f t="shared" si="6"/>
        <v>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525</v>
      </c>
      <c r="E27" s="245">
        <f aca="true" t="shared" si="8" ref="E27:P27">SUM(E28:E31)</f>
        <v>18</v>
      </c>
      <c r="F27" s="245">
        <f t="shared" si="8"/>
        <v>25</v>
      </c>
      <c r="G27" s="110">
        <f t="shared" si="2"/>
        <v>518</v>
      </c>
      <c r="H27" s="109">
        <f t="shared" si="8"/>
        <v>0</v>
      </c>
      <c r="I27" s="109">
        <f t="shared" si="8"/>
        <v>0</v>
      </c>
      <c r="J27" s="110">
        <f t="shared" si="3"/>
        <v>518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518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2"/>
        <v>20</v>
      </c>
      <c r="H28" s="103"/>
      <c r="I28" s="103"/>
      <c r="J28" s="113">
        <f t="shared" si="3"/>
        <v>20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459</v>
      </c>
      <c r="E30" s="242">
        <v>11</v>
      </c>
      <c r="F30" s="242">
        <v>25</v>
      </c>
      <c r="G30" s="113">
        <f t="shared" si="2"/>
        <v>445</v>
      </c>
      <c r="H30" s="111"/>
      <c r="I30" s="111"/>
      <c r="J30" s="113">
        <f t="shared" si="3"/>
        <v>445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445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f>47+100-101</f>
        <v>46</v>
      </c>
      <c r="E31" s="242">
        <v>7</v>
      </c>
      <c r="F31" s="242"/>
      <c r="G31" s="113">
        <f t="shared" si="2"/>
        <v>53</v>
      </c>
      <c r="H31" s="111"/>
      <c r="I31" s="111"/>
      <c r="J31" s="113">
        <f t="shared" si="3"/>
        <v>53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53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1" ref="E32:P32">SUM(E33:E36)</f>
        <v>0</v>
      </c>
      <c r="F32" s="246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8</v>
      </c>
      <c r="E37" s="242">
        <v>0</v>
      </c>
      <c r="F37" s="242"/>
      <c r="G37" s="113">
        <f t="shared" si="2"/>
        <v>8</v>
      </c>
      <c r="H37" s="111"/>
      <c r="I37" s="111"/>
      <c r="J37" s="113">
        <f t="shared" si="3"/>
        <v>8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533</v>
      </c>
      <c r="E38" s="247">
        <f aca="true" t="shared" si="12" ref="E38:P38">E27+E32+E37</f>
        <v>18</v>
      </c>
      <c r="F38" s="247">
        <f t="shared" si="12"/>
        <v>25</v>
      </c>
      <c r="G38" s="113">
        <f t="shared" si="2"/>
        <v>526</v>
      </c>
      <c r="H38" s="114">
        <f t="shared" si="12"/>
        <v>0</v>
      </c>
      <c r="I38" s="114">
        <f t="shared" si="12"/>
        <v>0</v>
      </c>
      <c r="J38" s="113">
        <f t="shared" si="3"/>
        <v>526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526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166</v>
      </c>
      <c r="E39" s="595"/>
      <c r="F39" s="595"/>
      <c r="G39" s="113">
        <f t="shared" si="2"/>
        <v>166</v>
      </c>
      <c r="H39" s="595"/>
      <c r="I39" s="595"/>
      <c r="J39" s="113">
        <f t="shared" si="3"/>
        <v>166</v>
      </c>
      <c r="K39" s="595">
        <f>66+1</f>
        <v>67</v>
      </c>
      <c r="L39" s="595"/>
      <c r="M39" s="595"/>
      <c r="N39" s="113">
        <f t="shared" si="4"/>
        <v>67</v>
      </c>
      <c r="O39" s="595"/>
      <c r="P39" s="595"/>
      <c r="Q39" s="113">
        <f t="shared" si="9"/>
        <v>67</v>
      </c>
      <c r="R39" s="113">
        <f t="shared" si="10"/>
        <v>99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5401</v>
      </c>
      <c r="E40" s="545">
        <f>E17+E18+E19+E25+E38+E39</f>
        <v>846</v>
      </c>
      <c r="F40" s="545">
        <f aca="true" t="shared" si="13" ref="F40:R40">F17+F18+F19+F25+F38+F39</f>
        <v>518</v>
      </c>
      <c r="G40" s="545">
        <f t="shared" si="13"/>
        <v>5729</v>
      </c>
      <c r="H40" s="545">
        <f t="shared" si="13"/>
        <v>0</v>
      </c>
      <c r="I40" s="545">
        <f t="shared" si="13"/>
        <v>0</v>
      </c>
      <c r="J40" s="545">
        <f t="shared" si="13"/>
        <v>5729</v>
      </c>
      <c r="K40" s="545">
        <f t="shared" si="13"/>
        <v>1112</v>
      </c>
      <c r="L40" s="545">
        <f t="shared" si="13"/>
        <v>135</v>
      </c>
      <c r="M40" s="545">
        <f t="shared" si="13"/>
        <v>25</v>
      </c>
      <c r="N40" s="545">
        <f t="shared" si="13"/>
        <v>1222</v>
      </c>
      <c r="O40" s="545">
        <f t="shared" si="13"/>
        <v>0</v>
      </c>
      <c r="P40" s="545">
        <f t="shared" si="13"/>
        <v>0</v>
      </c>
      <c r="Q40" s="545">
        <f t="shared" si="13"/>
        <v>1222</v>
      </c>
      <c r="R40" s="545">
        <f t="shared" si="13"/>
        <v>4507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135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4507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20.04.2010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34"/>
      <c r="L44" s="634"/>
      <c r="M44" s="634"/>
      <c r="N44" s="634"/>
      <c r="O44" s="635" t="s">
        <v>781</v>
      </c>
      <c r="P44" s="636"/>
      <c r="Q44" s="636"/>
      <c r="R44" s="636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9">
      <selection activeCell="E129" sqref="E129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9" t="s">
        <v>609</v>
      </c>
      <c r="B1" s="649"/>
      <c r="C1" s="649"/>
      <c r="D1" s="649"/>
      <c r="E1" s="649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50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50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51" t="str">
        <f>"Отчетен период:"&amp;"           "&amp;'справка №1-БАЛАНС'!E5</f>
        <v>Отчетен период:            2009 г. 31.12 - годишен</v>
      </c>
      <c r="B4" s="651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499</v>
      </c>
      <c r="D11" s="165">
        <f>SUM(D12:D14)</f>
        <v>0</v>
      </c>
      <c r="E11" s="166">
        <f>SUM(E12:E14)</f>
        <v>499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499</v>
      </c>
      <c r="D12" s="153"/>
      <c r="E12" s="166">
        <f aca="true" t="shared" si="0" ref="E12:E42">C12-D12</f>
        <v>499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248</v>
      </c>
      <c r="D15" s="153"/>
      <c r="E15" s="166">
        <f t="shared" si="0"/>
        <v>248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0</v>
      </c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747</v>
      </c>
      <c r="D19" s="149">
        <f>D11+D15+D16</f>
        <v>0</v>
      </c>
      <c r="E19" s="164">
        <f>E11+E15+E16</f>
        <v>747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146</v>
      </c>
      <c r="D24" s="165">
        <f>SUM(D25:D27)</f>
        <v>10</v>
      </c>
      <c r="E24" s="166">
        <f>SUM(E25:E27)</f>
        <v>136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№1-БАЛАНС'!C67-C26</f>
        <v>136</v>
      </c>
      <c r="D25" s="153"/>
      <c r="E25" s="166">
        <f t="shared" si="0"/>
        <v>136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>
        <v>10</v>
      </c>
      <c r="D26" s="153">
        <v>10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979</v>
      </c>
      <c r="D28" s="153">
        <v>179</v>
      </c>
      <c r="E28" s="166">
        <f t="shared" si="0"/>
        <v>800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3</v>
      </c>
      <c r="D29" s="153"/>
      <c r="E29" s="166">
        <f t="shared" si="0"/>
        <v>3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3</v>
      </c>
      <c r="D30" s="153"/>
      <c r="E30" s="166">
        <f t="shared" si="0"/>
        <v>3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190</v>
      </c>
      <c r="D33" s="150">
        <f>SUM(D34:D37)</f>
        <v>34</v>
      </c>
      <c r="E33" s="167">
        <f>SUM(E34:E37)</f>
        <v>156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152</v>
      </c>
      <c r="D34" s="153">
        <v>7</v>
      </c>
      <c r="E34" s="166">
        <f t="shared" si="0"/>
        <v>145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38</v>
      </c>
      <c r="D35" s="153">
        <v>27</v>
      </c>
      <c r="E35" s="166">
        <f t="shared" si="0"/>
        <v>11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421</v>
      </c>
      <c r="D38" s="150">
        <f>SUM(D39:D42)</f>
        <v>0</v>
      </c>
      <c r="E38" s="167">
        <f>SUM(E39:E42)</f>
        <v>421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421</v>
      </c>
      <c r="D42" s="153"/>
      <c r="E42" s="166">
        <f t="shared" si="0"/>
        <v>421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1742</v>
      </c>
      <c r="D43" s="149">
        <f>D24+D28+D29+D31+D30+D32+D33+D38</f>
        <v>223</v>
      </c>
      <c r="E43" s="164">
        <f>E24+E28+E29+E31+E30+E32+E33+E38</f>
        <v>1519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2489</v>
      </c>
      <c r="D44" s="148">
        <f>D43+D21+D19+D9</f>
        <v>223</v>
      </c>
      <c r="E44" s="164">
        <f>E43+E21+E19+E9</f>
        <v>2266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158</v>
      </c>
      <c r="D52" s="148">
        <f>SUM(D53:D55)</f>
        <v>0</v>
      </c>
      <c r="E52" s="165">
        <f>C52-D52</f>
        <v>158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158</v>
      </c>
      <c r="D53" s="153"/>
      <c r="E53" s="165">
        <f>C53-D53</f>
        <v>158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16</v>
      </c>
      <c r="D56" s="148">
        <f>D57+D59</f>
        <v>0</v>
      </c>
      <c r="E56" s="165">
        <f t="shared" si="1"/>
        <v>16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16</v>
      </c>
      <c r="D57" s="153">
        <v>0</v>
      </c>
      <c r="E57" s="165">
        <f t="shared" si="1"/>
        <v>16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66</v>
      </c>
      <c r="D62" s="153"/>
      <c r="E62" s="165">
        <f t="shared" si="1"/>
        <v>66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3</v>
      </c>
      <c r="D64" s="153"/>
      <c r="E64" s="165">
        <f t="shared" si="1"/>
        <v>3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243</v>
      </c>
      <c r="D66" s="148">
        <f>D52+D56+D61+D62+D63+D64</f>
        <v>0</v>
      </c>
      <c r="E66" s="165">
        <f t="shared" si="1"/>
        <v>243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75</v>
      </c>
      <c r="D71" s="150">
        <f>SUM(D72:D74)</f>
        <v>0</v>
      </c>
      <c r="E71" s="150">
        <f>SUM(E72:E74)</f>
        <v>75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>
        <v>16</v>
      </c>
      <c r="D73" s="153"/>
      <c r="E73" s="165">
        <f t="shared" si="1"/>
        <v>16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59</v>
      </c>
      <c r="D74" s="153"/>
      <c r="E74" s="165">
        <f t="shared" si="1"/>
        <v>59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69</v>
      </c>
      <c r="D75" s="148">
        <f>D76+D78</f>
        <v>14</v>
      </c>
      <c r="E75" s="148">
        <f>E76+E78</f>
        <v>55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69</v>
      </c>
      <c r="D78" s="153">
        <v>14</v>
      </c>
      <c r="E78" s="165">
        <f t="shared" si="1"/>
        <v>55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690</v>
      </c>
      <c r="D85" s="149">
        <f>SUM(D86:D90)+D94</f>
        <v>438</v>
      </c>
      <c r="E85" s="149">
        <f>SUM(E86:E90)+E94</f>
        <v>252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205</v>
      </c>
      <c r="D86" s="153">
        <v>74</v>
      </c>
      <c r="E86" s="165">
        <f t="shared" si="1"/>
        <v>131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315</v>
      </c>
      <c r="D87" s="153">
        <f>401-108</f>
        <v>293</v>
      </c>
      <c r="E87" s="165">
        <f t="shared" si="1"/>
        <v>22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89</v>
      </c>
      <c r="D88" s="153"/>
      <c r="E88" s="165">
        <f t="shared" si="1"/>
        <v>89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32</v>
      </c>
      <c r="D89" s="153">
        <f>91-59</f>
        <v>32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45</v>
      </c>
      <c r="D90" s="148">
        <f>SUM(D91:D93)</f>
        <v>35</v>
      </c>
      <c r="E90" s="148">
        <f>SUM(E91:E93)</f>
        <v>10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>
        <v>21</v>
      </c>
      <c r="D91" s="153">
        <v>21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24</v>
      </c>
      <c r="D92" s="153">
        <v>14</v>
      </c>
      <c r="E92" s="165">
        <f t="shared" si="1"/>
        <v>10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4</v>
      </c>
      <c r="D94" s="153">
        <v>4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141</v>
      </c>
      <c r="D95" s="153"/>
      <c r="E95" s="165">
        <f t="shared" si="1"/>
        <v>141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975</v>
      </c>
      <c r="D96" s="149">
        <f>D85+D80+D75+D71+D95</f>
        <v>452</v>
      </c>
      <c r="E96" s="149">
        <f>E85+E80+E75+E71+E95</f>
        <v>523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1218</v>
      </c>
      <c r="D97" s="149">
        <f>D96+D68+D66</f>
        <v>452</v>
      </c>
      <c r="E97" s="149">
        <f>E96+E68+E66</f>
        <v>766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8" t="s">
        <v>780</v>
      </c>
      <c r="B107" s="648"/>
      <c r="C107" s="648"/>
      <c r="D107" s="648"/>
      <c r="E107" s="648"/>
      <c r="F107" s="648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7" t="str">
        <f>'справка №1-БАЛАНС'!A98</f>
        <v>Дата на съставяне: 20.04.2010 г</v>
      </c>
      <c r="B109" s="647"/>
      <c r="C109" s="647" t="s">
        <v>381</v>
      </c>
      <c r="D109" s="647"/>
      <c r="E109" s="647"/>
      <c r="F109" s="647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46" t="s">
        <v>781</v>
      </c>
      <c r="D111" s="646"/>
      <c r="E111" s="646"/>
      <c r="F111" s="646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12" sqref="C12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23" t="str">
        <f>'справка №1-БАЛАНС'!E3</f>
        <v>Булгар Чех Инвест Холдинг АД - Смолян</v>
      </c>
      <c r="D4" s="645"/>
      <c r="E4" s="645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23" t="str">
        <f>'справка №1-БАЛАНС'!E5</f>
        <v> 2009 г. 31.12 - годишен</v>
      </c>
      <c r="D5" s="654"/>
      <c r="E5" s="654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</f>
        <v>445</v>
      </c>
      <c r="D12" s="141"/>
      <c r="E12" s="141"/>
      <c r="F12" s="141">
        <f>C12</f>
        <v>445</v>
      </c>
      <c r="G12" s="141"/>
      <c r="H12" s="141"/>
      <c r="I12" s="540">
        <f>F12+G12-H12</f>
        <v>445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53</v>
      </c>
      <c r="D16" s="141"/>
      <c r="E16" s="141"/>
      <c r="F16" s="141">
        <f>C16</f>
        <v>53</v>
      </c>
      <c r="G16" s="141"/>
      <c r="H16" s="141"/>
      <c r="I16" s="540">
        <f t="shared" si="0"/>
        <v>53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498</v>
      </c>
      <c r="D17" s="127">
        <f t="shared" si="1"/>
        <v>0</v>
      </c>
      <c r="E17" s="127">
        <f t="shared" si="1"/>
        <v>0</v>
      </c>
      <c r="F17" s="127">
        <f t="shared" si="1"/>
        <v>498</v>
      </c>
      <c r="G17" s="127">
        <f t="shared" si="1"/>
        <v>0</v>
      </c>
      <c r="H17" s="127">
        <f t="shared" si="1"/>
        <v>0</v>
      </c>
      <c r="I17" s="540">
        <f t="shared" si="0"/>
        <v>498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20.04.2010 г</v>
      </c>
      <c r="B30" s="653"/>
      <c r="C30" s="653"/>
      <c r="D30" s="566" t="s">
        <v>819</v>
      </c>
      <c r="E30" s="652"/>
      <c r="F30" s="652"/>
      <c r="G30" s="652"/>
      <c r="H30" s="518" t="s">
        <v>781</v>
      </c>
      <c r="I30" s="652"/>
      <c r="J30" s="652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127">
      <selection activeCell="D115" sqref="D115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23" t="str">
        <f>'справка №1-БАЛАНС'!E3</f>
        <v>Булгар Чех Инвест Холдинг АД - Смолян</v>
      </c>
      <c r="C5" s="644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23" t="str">
        <f>'справка №1-БАЛАНС'!E5</f>
        <v> 2009 г. 31.12 - годишен</v>
      </c>
      <c r="C6" s="654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6"/>
      <c r="C7" s="656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 t="s">
        <v>927</v>
      </c>
      <c r="B12" s="67"/>
      <c r="C12" s="548">
        <v>20</v>
      </c>
      <c r="D12" s="598">
        <v>43.17</v>
      </c>
      <c r="E12" s="548"/>
      <c r="F12" s="550">
        <f>C12-E12</f>
        <v>20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20</v>
      </c>
      <c r="D27" s="535"/>
      <c r="E27" s="535">
        <f>SUM(E12:E26)</f>
        <v>0</v>
      </c>
      <c r="F27" s="549">
        <f>SUM(F12:F26)</f>
        <v>20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862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12.75">
      <c r="A47" s="597" t="s">
        <v>863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865</v>
      </c>
      <c r="B48" s="67"/>
      <c r="C48" s="548">
        <f>123-17</f>
        <v>106</v>
      </c>
      <c r="D48" s="598">
        <f>31-4.5</f>
        <v>26.5</v>
      </c>
      <c r="E48" s="548"/>
      <c r="F48" s="550">
        <f t="shared" si="2"/>
        <v>106</v>
      </c>
    </row>
    <row r="49" spans="1:6" ht="12.75">
      <c r="A49" s="66" t="s">
        <v>866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867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868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445</v>
      </c>
      <c r="D53" s="535"/>
      <c r="E53" s="535">
        <f>SUM(E46:E52)</f>
        <v>0</v>
      </c>
      <c r="F53" s="549">
        <f>SUM(F46:F52)</f>
        <v>445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864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869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12.75">
      <c r="A57" s="66">
        <v>6</v>
      </c>
      <c r="B57" s="67"/>
      <c r="C57" s="548"/>
      <c r="D57" s="548"/>
      <c r="E57" s="548"/>
      <c r="F57" s="550">
        <f t="shared" si="3"/>
        <v>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53</v>
      </c>
      <c r="D67" s="535"/>
      <c r="E67" s="535">
        <f>SUM(E55:E66)</f>
        <v>0</v>
      </c>
      <c r="F67" s="549">
        <f>SUM(F55:F66)</f>
        <v>53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518</v>
      </c>
      <c r="D68" s="535"/>
      <c r="E68" s="535">
        <f>E67+E53+E44+E27</f>
        <v>0</v>
      </c>
      <c r="F68" s="549">
        <f>F67+F53+F44+F27</f>
        <v>518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20.04.2010 г</v>
      </c>
      <c r="B140" s="559"/>
      <c r="C140" s="655" t="s">
        <v>849</v>
      </c>
      <c r="D140" s="655"/>
      <c r="E140" s="655"/>
      <c r="F140" s="655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55" t="s">
        <v>856</v>
      </c>
      <c r="D142" s="655"/>
      <c r="E142" s="655"/>
      <c r="F142" s="655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PC_2_EK</cp:lastModifiedBy>
  <cp:lastPrinted>2010-04-28T13:00:27Z</cp:lastPrinted>
  <dcterms:created xsi:type="dcterms:W3CDTF">2000-06-29T12:02:40Z</dcterms:created>
  <dcterms:modified xsi:type="dcterms:W3CDTF">2010-05-13T07:09:40Z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