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6 в т.ч.Франция" sheetId="7" r:id="rId7"/>
    <sheet name="справка №6 в т.ч. Испания" sheetId="8" r:id="rId8"/>
    <sheet name="справка №7" sheetId="9" r:id="rId9"/>
    <sheet name="справка №8" sheetId="10" r:id="rId10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№1-БАЛАНС'!$A$1:$I$100</definedName>
    <definedName name="_xlnm.Print_Area" localSheetId="3">'справка №4-ОСК'!$A$1:$N$38</definedName>
    <definedName name="_xlnm.Print_Area" localSheetId="9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<sst xmlns="http://schemas.openxmlformats.org/spreadsheetml/2006/main" count="1472" uniqueCount="876">
  <si>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</si>
  <si>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</si>
  <si>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</si>
  <si>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</si>
  <si>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</si>
  <si>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</si>
  <si>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</si>
  <si>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</si>
  <si>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</si>
  <si>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</si>
  <si>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</si>
  <si>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</si>
  <si>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</si>
  <si>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</si>
  <si>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</si>
  <si>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</si>
  <si>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</si>
  <si>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</si>
  <si>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</si>
  <si>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</si>
  <si>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</si>
  <si>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</si>
  <si>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</si>
  <si>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</si>
  <si>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</si>
  <si>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</si>
  <si>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</si>
  <si>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</si>
  <si>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</si>
  <si>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</si>
  <si>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</si>
  <si>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</si>
  <si>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</si>
  <si>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</si>
  <si>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</si>
  <si>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</si>
  <si>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</si>
  <si>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</si>
  <si>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</si>
  <si>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</si>
  <si>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</si>
  <si>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</si>
  <si>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</si>
  <si>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</si>
  <si>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</si>
  <si>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</si>
  <si>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</si>
  <si>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</si>
  <si>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</si>
  <si>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</si>
  <si>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</si>
  <si>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</si>
  <si>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</si>
  <si>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</si>
  <si>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</si>
  <si>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</si>
  <si>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</si>
  <si>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</si>
  <si>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</si>
  <si>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</si>
  <si>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</si>
  <si>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</si>
  <si>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</si>
  <si>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</si>
  <si>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</si>
  <si>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</si>
  <si>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</si>
  <si>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</si>
  <si>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</si>
  <si>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</si>
  <si>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</si>
  <si>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</si>
  <si>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</si>
  <si>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</si>
  <si>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</si>
  <si>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</si>
  <si>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</si>
  <si>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</si>
  <si>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</si>
  <si>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</si>
  <si>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</si>
  <si>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</si>
  <si>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</si>
  <si>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</si>
  <si>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</si>
  <si>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</si>
  <si>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</si>
  <si>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</si>
  <si>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</si>
  <si>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</si>
  <si>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</si>
  <si>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</si>
  <si>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</si>
  <si>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</si>
  <si>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</si>
  <si>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</si>
  <si>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</si>
  <si>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</si>
  <si>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</si>
  <si>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</si>
  <si>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</si>
  <si>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</si>
  <si>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</si>
  <si>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</si>
  <si>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</si>
  <si>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</si>
  <si>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</si>
  <si>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</si>
  <si>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</si>
  <si>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</si>
  <si>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</si>
  <si>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</si>
  <si>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</si>
  <si>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</si>
  <si>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</si>
  <si>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</si>
  <si>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</si>
  <si>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</si>
  <si>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</si>
  <si>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</si>
  <si>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</si>
  <si>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</si>
  <si>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</si>
  <si>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</si>
  <si>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</si>
  <si>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</si>
  <si>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</si>
  <si>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</si>
  <si>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</si>
  <si>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</si>
  <si>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</si>
  <si>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</si>
  <si>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</si>
  <si>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</si>
  <si>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</si>
  <si>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</si>
  <si>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</si>
  <si>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</si>
  <si>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</si>
  <si>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</si>
  <si>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</si>
  <si>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</si>
  <si>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</si>
  <si>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</si>
  <si>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</si>
  <si>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</si>
  <si>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</si>
  <si>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</si>
  <si>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</si>
  <si>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</si>
  <si>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</si>
  <si>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</si>
  <si>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</si>
  <si>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</si>
  <si>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</si>
  <si>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</si>
  <si>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</si>
  <si>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</si>
  <si>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</si>
  <si>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</si>
  <si>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</si>
  <si>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</si>
  <si>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</si>
  <si>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</si>
  <si>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</si>
  <si>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</si>
  <si>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</si>
  <si>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</si>
  <si>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</si>
  <si>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</si>
  <si>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</si>
  <si>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</si>
  <si>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</si>
  <si>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</si>
  <si>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</si>
  <si>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</si>
  <si>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</si>
  <si>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</si>
  <si>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</si>
  <si>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</si>
  <si>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</si>
  <si>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</si>
  <si>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</si>
  <si>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</si>
  <si>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</si>
  <si>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</si>
  <si>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</si>
  <si>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</si>
  <si>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</si>
  <si>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</si>
  <si>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</si>
  <si>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</si>
  <si>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</si>
  <si>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</si>
  <si>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</si>
  <si>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</si>
  <si>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</si>
  <si>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</si>
  <si>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</si>
  <si>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</si>
  <si>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</si>
  <si>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</si>
  <si>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</si>
  <si>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</si>
  <si>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</si>
  <si>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</si>
  <si>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</si>
  <si>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</si>
  <si>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</si>
  <si>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</si>
  <si>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</si>
  <si>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</si>
  <si>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</si>
  <si>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</si>
  <si>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</si>
  <si>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</si>
  <si>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</si>
  <si>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</si>
  <si>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</si>
  <si>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</si>
  <si>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</si>
  <si>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</si>
  <si>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</si>
  <si>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</si>
  <si>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</si>
  <si>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</si>
  <si>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</si>
  <si>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</si>
  <si>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</si>
  <si>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</si>
  <si>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</si>
  <si>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</si>
  <si>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</si>
  <si>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</si>
  <si>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</si>
  <si>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</si>
  <si>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</si>
  <si>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</si>
  <si>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</si>
  <si>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</si>
  <si>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</si>
  <si>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</si>
  <si>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</si>
  <si>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</si>
  <si>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</si>
  <si>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</si>
  <si>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</si>
  <si>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</si>
  <si>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</si>
  <si>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</si>
  <si>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</si>
  <si>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</si>
  <si>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</si>
  <si>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</si>
  <si>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</si>
  <si>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</si>
  <si>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</si>
  <si>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</si>
  <si>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</si>
  <si>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</si>
  <si>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</si>
  <si>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</si>
  <si>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</si>
  <si>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</si>
  <si>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</si>
  <si>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</si>
  <si>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</si>
  <si>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</si>
  <si>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</si>
  <si>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</si>
  <si>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</si>
  <si>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</si>
  <si>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</si>
  <si>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</si>
  <si>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</si>
  <si>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</si>
  <si>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</si>
  <si>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</si>
  <si>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</si>
  <si>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</si>
  <si>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</si>
  <si>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</si>
  <si>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</si>
  <si>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</si>
  <si>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</si>
  <si>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</si>
  <si>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</si>
  <si>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</si>
  <si>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</si>
  <si>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</si>
  <si>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</si>
  <si>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</si>
  <si>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</si>
  <si>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</si>
  <si>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</si>
  <si>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</si>
  <si>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</si>
  <si>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</si>
  <si>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</si>
  <si>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</si>
  <si>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</si>
  <si>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</si>
  <si>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</si>
  <si>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</si>
  <si>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</si>
  <si>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</si>
  <si>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</si>
  <si>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</si>
  <si>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</si>
  <si>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</si>
  <si>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</si>
  <si>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</si>
  <si>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</si>
  <si>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</si>
  <si>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</si>
  <si>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</si>
  <si>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</si>
  <si>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</si>
  <si>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</si>
  <si>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</si>
  <si>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</si>
  <si>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</si>
  <si>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</si>
  <si>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</si>
  <si>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</si>
  <si>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</si>
  <si>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</si>
  <si>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</si>
  <si>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</si>
  <si>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</si>
  <si>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</si>
  <si>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</si>
  <si>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</si>
  <si>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</si>
  <si>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</si>
  <si>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</si>
  <si>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</si>
  <si>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</si>
  <si>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</si>
  <si>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</si>
  <si>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</si>
  <si>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</si>
  <si>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</si>
  <si>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</si>
  <si>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</si>
  <si>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</si>
  <si>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</si>
  <si>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</si>
  <si>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</si>
  <si>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</si>
  <si>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</si>
  <si>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</si>
  <si>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</si>
  <si>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</si>
  <si>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</si>
  <si>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</si>
  <si>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</si>
  <si>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</si>
  <si>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</si>
  <si>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</si>
  <si>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</si>
  <si>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</si>
  <si>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</si>
  <si>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</si>
  <si>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</si>
  <si>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</si>
  <si>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</si>
  <si>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</si>
  <si>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</si>
  <si>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</si>
  <si>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</si>
  <si>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</si>
  <si>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</si>
  <si>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</si>
  <si>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</si>
  <si>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</si>
  <si>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</si>
  <si>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</si>
  <si>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</si>
  <si>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</si>
  <si>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</si>
  <si>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</si>
  <si>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</si>
  <si>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</si>
  <si>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</si>
  <si>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</si>
  <si>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</si>
  <si>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</si>
  <si>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</si>
  <si>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</si>
  <si>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</si>
  <si>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</si>
  <si>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</si>
  <si>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</si>
  <si>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</si>
  <si>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</si>
  <si>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</si>
  <si>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</si>
  <si>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</si>
  <si>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</si>
  <si>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</si>
  <si>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</si>
  <si>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</si>
  <si>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</si>
  <si>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</si>
  <si>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</si>
  <si>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</si>
  <si>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</si>
  <si>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</si>
  <si>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</si>
  <si>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</si>
  <si>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</si>
  <si>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</si>
  <si>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</si>
  <si>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</si>
  <si>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</si>
  <si>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</si>
  <si>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</si>
  <si>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</si>
  <si>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</si>
  <si>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</si>
  <si>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</si>
  <si>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</si>
  <si>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</si>
  <si>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</si>
  <si>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</si>
  <si>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</si>
  <si>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</si>
  <si>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</si>
  <si>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</si>
  <si>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</si>
  <si>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</si>
  <si>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</si>
  <si>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</si>
  <si>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</si>
  <si>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</si>
  <si>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</si>
  <si>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</si>
  <si>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</si>
  <si>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</si>
  <si>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</si>
  <si>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</si>
  <si>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</si>
  <si>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</si>
  <si>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</si>
  <si>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</si>
  <si>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</si>
  <si>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</si>
  <si>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</si>
  <si>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</si>
  <si>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</si>
  <si>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</si>
  <si>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</si>
  <si>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</si>
  <si>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</si>
  <si>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</si>
  <si>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</si>
  <si>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</si>
  <si>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</si>
  <si>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</si>
  <si>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</si>
  <si>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</si>
  <si>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</si>
  <si>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</si>
  <si>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</si>
  <si>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</si>
  <si>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</si>
  <si>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</si>
  <si>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</si>
  <si>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</si>
  <si>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</si>
  <si>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</si>
  <si>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</si>
  <si>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</si>
  <si>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</si>
  <si>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</si>
  <si>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</si>
  <si>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</si>
  <si>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</si>
  <si>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</si>
  <si>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</si>
  <si>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</si>
  <si>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</si>
  <si>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</si>
  <si>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</si>
  <si>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</si>
  <si>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</si>
  <si>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</si>
  <si>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</si>
  <si>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</si>
  <si>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</si>
  <si>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</si>
  <si>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</si>
  <si>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</si>
  <si>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</si>
  <si>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</si>
  <si>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</si>
  <si>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</si>
  <si>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</si>
  <si>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</si>
  <si>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</si>
  <si>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</si>
  <si>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</si>
  <si>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</si>
  <si>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</si>
  <si>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</si>
  <si>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</si>
  <si>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</si>
  <si>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</si>
  <si>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</si>
  <si>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</si>
  <si>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</si>
  <si>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</si>
  <si>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</si>
  <si>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</si>
  <si>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</si>
  <si>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</si>
  <si>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</si>
  <si>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</si>
  <si>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</si>
  <si>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</si>
  <si>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</si>
  <si>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</si>
  <si>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</si>
  <si>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</si>
  <si>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</si>
  <si>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</si>
  <si>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</si>
  <si>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</si>
  <si>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</si>
  <si>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</si>
  <si>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</si>
  <si>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</si>
  <si>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</si>
  <si>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</si>
  <si>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</si>
  <si>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</si>
  <si>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</si>
  <si>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</si>
  <si>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</si>
  <si>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</si>
  <si>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</si>
  <si>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</si>
  <si>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</si>
  <si>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</si>
  <si>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</si>
  <si>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</si>
  <si>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</si>
  <si>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</si>
  <si>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</si>
  <si>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</si>
  <si>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</si>
  <si>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</si>
  <si>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</si>
  <si>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</si>
  <si>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</si>
  <si>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</si>
  <si>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</si>
  <si>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</si>
  <si>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</si>
  <si>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</si>
  <si>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</si>
  <si>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</si>
  <si>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</si>
  <si>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</si>
  <si>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</si>
  <si>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</si>
  <si>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</si>
  <si>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</si>
  <si>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</si>
  <si>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</si>
  <si>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</si>
  <si>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</si>
  <si>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</si>
  <si>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</si>
  <si>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</si>
  <si>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</si>
  <si>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</si>
  <si>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</si>
  <si>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</si>
  <si>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</si>
  <si>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</si>
  <si>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</si>
  <si>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</si>
  <si>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</si>
  <si>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</si>
  <si>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</si>
  <si>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</si>
  <si>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</si>
  <si>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</si>
  <si>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</si>
  <si>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</si>
  <si>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</si>
  <si>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</si>
  <si>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</si>
  <si>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</si>
  <si>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</si>
  <si>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</si>
  <si>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</si>
  <si>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</si>
  <si>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</si>
  <si>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</si>
  <si>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</si>
  <si>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</si>
  <si>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</si>
  <si>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</si>
  <si>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</si>
  <si>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</si>
  <si>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</si>
  <si>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</si>
  <si>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</si>
  <si>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</si>
  <si>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</si>
  <si>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</si>
  <si>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</si>
  <si>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</si>
  <si>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</si>
  <si>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</si>
  <si>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</si>
  <si>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</si>
  <si>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</si>
  <si>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</si>
  <si>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</si>
  <si>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</si>
  <si>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</si>
  <si>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</si>
  <si>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</si>
  <si>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</si>
  <si>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</si>
  <si>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</si>
  <si>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</si>
  <si>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</si>
  <si>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</si>
  <si>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</si>
  <si>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</si>
  <si>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</si>
  <si>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</si>
  <si>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</si>
  <si>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</si>
  <si>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</si>
  <si>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</si>
  <si>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</si>
  <si>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</si>
  <si>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</si>
  <si>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</si>
  <si>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</si>
  <si>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</si>
  <si>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</si>
  <si>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</si>
  <si>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</si>
  <si>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</si>
  <si>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</si>
  <si>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</si>
  <si>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</si>
  <si>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</si>
  <si>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</si>
  <si>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</si>
  <si>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</si>
  <si>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</si>
  <si>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</si>
  <si>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</si>
  <si>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</si>
  <si>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</si>
  <si>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</si>
  <si>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</si>
  <si>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</si>
  <si>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</si>
  <si>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</si>
  <si>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</si>
  <si>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</si>
  <si>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</si>
  <si>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</si>
  <si>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</si>
  <si>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</si>
  <si>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</si>
  <si>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</si>
  <si>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</si>
  <si>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</si>
  <si>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</si>
  <si>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</si>
  <si>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</si>
  <si>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</si>
  <si>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</si>
  <si>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</si>
  <si>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</si>
  <si>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</si>
  <si>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</si>
  <si>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</si>
  <si>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</si>
  <si>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</si>
  <si>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</si>
  <si>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</si>
  <si>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</si>
  <si>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</si>
  <si>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</si>
  <si>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</si>
  <si>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</si>
  <si>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</si>
  <si>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</si>
  <si>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</si>
  <si>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</si>
  <si>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</si>
  <si>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</si>
  <si>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</si>
  <si>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</si>
  <si>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</si>
  <si>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</si>
  <si>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</si>
  <si>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</si>
  <si>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</si>
  <si>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</si>
  <si>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</si>
  <si>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</si>
  <si>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</si>
  <si>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</si>
  <si>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</si>
  <si>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</si>
  <si>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</si>
  <si>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</si>
  <si>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</si>
  <si>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</si>
  <si>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</si>
  <si>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</si>
  <si>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</si>
  <si>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</si>
  <si>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</si>
  <si>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</si>
  <si>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</si>
  <si>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</si>
  <si>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</si>
  <si>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</si>
  <si>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</si>
  <si>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</si>
  <si>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</si>
  <si>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</si>
  <si>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</si>
  <si>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</si>
  <si>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</si>
  <si>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</si>
  <si>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</si>
  <si>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</si>
  <si>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</si>
  <si>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</si>
  <si>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</si>
  <si>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</si>
  <si>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</si>
  <si>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</si>
  <si>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</si>
  <si>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</si>
  <si>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</si>
  <si>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</si>
  <si>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</si>
  <si>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</si>
  <si>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</si>
  <si>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</si>
  <si>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</si>
  <si>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</si>
  <si>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</si>
  <si>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</si>
  <si>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</si>
  <si>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</si>
  <si>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</si>
  <si>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</si>
  <si>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</si>
  <si>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</si>
  <si>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</si>
  <si>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</si>
  <si>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</si>
  <si>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</si>
  <si>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</si>
  <si>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</si>
  <si>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</si>
  <si>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</si>
  <si>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</si>
  <si>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</si>
  <si>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</si>
  <si>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</si>
  <si>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</si>
  <si>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</si>
  <si>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</si>
  <si>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</si>
  <si>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</si>
  <si>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</si>
  <si>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</si>
  <si>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</si>
  <si>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</si>
  <si>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</si>
  <si>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</si>
  <si>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</si>
  <si>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</si>
  <si>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</si>
  <si>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</si>
  <si>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</si>
  <si>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</si>
  <si>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</si>
  <si>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</si>
  <si>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</si>
  <si>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</si>
  <si>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</si>
  <si>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</si>
  <si>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</si>
  <si>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</si>
  <si>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</si>
  <si>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</si>
  <si>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</si>
  <si>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</si>
  <si>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</si>
  <si>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</si>
  <si>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</si>
  <si>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</si>
  <si>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</si>
  <si>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</si>
  <si>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</si>
  <si>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</si>
  <si>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</si>
  <si>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</si>
  <si>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</si>
  <si>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</si>
  <si>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</si>
  <si>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</si>
  <si>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</si>
  <si>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</si>
  <si>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</si>
  <si>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</si>
  <si>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</si>
  <si>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</si>
  <si>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</si>
  <si>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</si>
  <si>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</si>
  <si>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</si>
  <si>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</si>
  <si>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</si>
  <si>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</si>
  <si>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</si>
  <si>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</si>
  <si>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</si>
  <si>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</si>
  <si>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</si>
  <si>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</si>
  <si>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</si>
  <si>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</si>
  <si>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</si>
  <si>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</si>
  <si>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</si>
  <si>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</si>
  <si>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</si>
  <si>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</si>
  <si>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</si>
  <si>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</si>
  <si>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</si>
  <si>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</si>
  <si>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</si>
  <si>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</si>
  <si>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</si>
  <si>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</si>
  <si>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</si>
  <si>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</si>
  <si>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</si>
  <si>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</si>
  <si>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</si>
  <si>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</si>
  <si>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</si>
  <si>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</si>
  <si>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"Торготерм"АД</t>
  </si>
  <si>
    <t>неконсолидиран</t>
  </si>
  <si>
    <t>01.01.2010-30.06.2010</t>
  </si>
  <si>
    <t>Дата на съставяне: 15.07.2010 г.</t>
  </si>
  <si>
    <t>15.07.2010 г.</t>
  </si>
  <si>
    <t xml:space="preserve">Дата на съставяне:15.07.2010 г.                                       </t>
  </si>
  <si>
    <t xml:space="preserve">Дата  на съставяне: 15.07.2010  г.                                                                                                                          </t>
  </si>
  <si>
    <t xml:space="preserve">Дата на съставяне:15.07.2010 г.             </t>
  </si>
  <si>
    <t>Дата на съставяне:15.07.2010 г.</t>
  </si>
  <si>
    <t xml:space="preserve">А. ВЗЕМАНИЯ        от Франция                                    </t>
  </si>
  <si>
    <t xml:space="preserve">А. ВЗЕМАНИЯ        от Испания                                   </t>
  </si>
  <si>
    <t>Б. ЗАДЪЛЖЕНИЯ - Франция</t>
  </si>
  <si>
    <t>Б. ЗАДЪЛЖЕНИЯ - Испания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</si>
</sst>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0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77" fontId="22" fillId="35" borderId="10" xfId="64" applyNumberFormat="1" applyFont="1" applyFill="1" applyBorder="1" applyAlignment="1" applyProtection="1">
      <alignment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  <xf numFmtId="1" fontId="9" fillId="0" borderId="0" xfId="63" applyNumberFormat="1" applyFont="1" applyAlignment="1" applyProtection="1">
      <alignment vertical="top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C91" sqref="C9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863</v>
      </c>
      <c r="F3" s="217" t="s">
        <v>2</v>
      </c>
      <c r="G3" s="172"/>
      <c r="H3" s="461">
        <v>819363984</v>
      </c>
    </row>
    <row r="4" spans="1:8" ht="15">
      <c r="A4" s="576" t="s">
        <v>3</v>
      </c>
      <c r="B4" s="582"/>
      <c r="C4" s="582"/>
      <c r="D4" s="582"/>
      <c r="E4" s="504" t="s">
        <v>864</v>
      </c>
      <c r="F4" s="578" t="s">
        <v>4</v>
      </c>
      <c r="G4" s="579"/>
      <c r="H4" s="461" t="s">
        <v>159</v>
      </c>
    </row>
    <row r="5" spans="1:8" ht="15">
      <c r="A5" s="576" t="s">
        <v>5</v>
      </c>
      <c r="B5" s="577"/>
      <c r="C5" s="577"/>
      <c r="D5" s="577"/>
      <c r="E5" s="505" t="s">
        <v>865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330</v>
      </c>
      <c r="D11" s="151">
        <v>330</v>
      </c>
      <c r="E11" s="237" t="s">
        <v>22</v>
      </c>
      <c r="F11" s="242" t="s">
        <v>23</v>
      </c>
      <c r="G11" s="152">
        <v>3000</v>
      </c>
      <c r="H11" s="152">
        <v>3000</v>
      </c>
    </row>
    <row r="12" spans="1:8" ht="15">
      <c r="A12" s="235" t="s">
        <v>24</v>
      </c>
      <c r="B12" s="241" t="s">
        <v>25</v>
      </c>
      <c r="C12" s="151">
        <v>1427</v>
      </c>
      <c r="D12" s="151">
        <v>1501</v>
      </c>
      <c r="E12" s="237" t="s">
        <v>26</v>
      </c>
      <c r="F12" s="242" t="s">
        <v>27</v>
      </c>
      <c r="G12" s="153">
        <v>3000</v>
      </c>
      <c r="H12" s="153">
        <v>3000</v>
      </c>
    </row>
    <row r="13" spans="1:8" ht="15">
      <c r="A13" s="235" t="s">
        <v>28</v>
      </c>
      <c r="B13" s="241" t="s">
        <v>29</v>
      </c>
      <c r="C13" s="151">
        <v>986</v>
      </c>
      <c r="D13" s="151">
        <v>1378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140</v>
      </c>
      <c r="D14" s="151">
        <v>154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48</v>
      </c>
      <c r="D15" s="151">
        <v>104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143</v>
      </c>
      <c r="D16" s="151">
        <v>167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11</v>
      </c>
      <c r="D17" s="151">
        <v>10</v>
      </c>
      <c r="E17" s="243" t="s">
        <v>46</v>
      </c>
      <c r="F17" s="245" t="s">
        <v>47</v>
      </c>
      <c r="G17" s="154">
        <f>G11+G14+G15+G16</f>
        <v>3000</v>
      </c>
      <c r="H17" s="154">
        <f>H11+H14+H15+H16</f>
        <v>3000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3085</v>
      </c>
      <c r="D19" s="155">
        <f>SUM(D11:D18)</f>
        <v>3644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1351</v>
      </c>
      <c r="H20" s="158">
        <v>1354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300</v>
      </c>
      <c r="H21" s="156">
        <f>SUM(H22:H24)</f>
        <v>300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300</v>
      </c>
      <c r="H22" s="152">
        <v>300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34</v>
      </c>
      <c r="D24" s="151">
        <v>43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1651</v>
      </c>
      <c r="H25" s="154">
        <f>H19+H20+H21</f>
        <v>1654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34</v>
      </c>
      <c r="D27" s="155">
        <f>SUM(D23:D26)</f>
        <v>43</v>
      </c>
      <c r="E27" s="253" t="s">
        <v>83</v>
      </c>
      <c r="F27" s="242" t="s">
        <v>84</v>
      </c>
      <c r="G27" s="154">
        <f>SUM(G28:G30)</f>
        <v>230</v>
      </c>
      <c r="H27" s="154">
        <f>SUM(H28:H30)</f>
        <v>667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671</v>
      </c>
      <c r="H28" s="152">
        <v>667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-441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114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-246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344</v>
      </c>
      <c r="H33" s="154">
        <f>H27+H31+H32</f>
        <v>421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4995</v>
      </c>
      <c r="H36" s="154">
        <f>H25+H17+H33</f>
        <v>5075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f>634-200</f>
        <v>434</v>
      </c>
      <c r="H44" s="152">
        <v>622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286</v>
      </c>
      <c r="H48" s="152">
        <v>443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720</v>
      </c>
      <c r="H49" s="154">
        <f>SUM(H43:H48)</f>
        <v>1065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4</v>
      </c>
      <c r="D53" s="151">
        <v>5</v>
      </c>
      <c r="E53" s="237" t="s">
        <v>164</v>
      </c>
      <c r="F53" s="245" t="s">
        <v>165</v>
      </c>
      <c r="G53" s="152">
        <f>146-117</f>
        <v>29</v>
      </c>
      <c r="H53" s="152">
        <v>32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>
        <v>77</v>
      </c>
      <c r="H54" s="152">
        <v>60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3123</v>
      </c>
      <c r="D55" s="155">
        <f>D19+D20+D21+D27+D32+D45+D51+D53+D54</f>
        <v>3692</v>
      </c>
      <c r="E55" s="237" t="s">
        <v>172</v>
      </c>
      <c r="F55" s="261" t="s">
        <v>173</v>
      </c>
      <c r="G55" s="154">
        <f>G49+G51+G52+G53+G54</f>
        <v>826</v>
      </c>
      <c r="H55" s="154">
        <f>H49+H51+H52+H53+H54</f>
        <v>1157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959</v>
      </c>
      <c r="D58" s="151">
        <v>883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452</v>
      </c>
      <c r="D59" s="151">
        <v>480</v>
      </c>
      <c r="E59" s="251" t="s">
        <v>181</v>
      </c>
      <c r="F59" s="242" t="s">
        <v>182</v>
      </c>
      <c r="G59" s="152">
        <v>489</v>
      </c>
      <c r="H59" s="152">
        <v>293</v>
      </c>
      <c r="M59" s="157"/>
    </row>
    <row r="60" spans="1:8" ht="15">
      <c r="A60" s="235" t="s">
        <v>183</v>
      </c>
      <c r="B60" s="241" t="s">
        <v>184</v>
      </c>
      <c r="C60" s="151">
        <v>889</v>
      </c>
      <c r="D60" s="151">
        <v>401</v>
      </c>
      <c r="E60" s="237" t="s">
        <v>185</v>
      </c>
      <c r="F60" s="242" t="s">
        <v>186</v>
      </c>
      <c r="G60" s="152">
        <v>200</v>
      </c>
      <c r="H60" s="152">
        <v>212</v>
      </c>
    </row>
    <row r="61" spans="1:18" ht="15">
      <c r="A61" s="235" t="s">
        <v>187</v>
      </c>
      <c r="B61" s="244" t="s">
        <v>188</v>
      </c>
      <c r="C61" s="151">
        <v>612</v>
      </c>
      <c r="D61" s="151">
        <v>594</v>
      </c>
      <c r="E61" s="243" t="s">
        <v>189</v>
      </c>
      <c r="F61" s="272" t="s">
        <v>190</v>
      </c>
      <c r="G61" s="154">
        <f>SUM(G62:G68)</f>
        <v>2801</v>
      </c>
      <c r="H61" s="154">
        <f>SUM(H62:H68)</f>
        <v>1495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16</v>
      </c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117</v>
      </c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2912</v>
      </c>
      <c r="D64" s="155">
        <f>SUM(D58:D63)</f>
        <v>2358</v>
      </c>
      <c r="E64" s="237" t="s">
        <v>200</v>
      </c>
      <c r="F64" s="242" t="s">
        <v>201</v>
      </c>
      <c r="G64" s="152">
        <v>2320</v>
      </c>
      <c r="H64" s="152">
        <f>1222-54</f>
        <v>1168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133</v>
      </c>
      <c r="H65" s="152">
        <v>54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164</v>
      </c>
      <c r="H66" s="152">
        <v>205</v>
      </c>
    </row>
    <row r="67" spans="1:8" ht="15">
      <c r="A67" s="235" t="s">
        <v>207</v>
      </c>
      <c r="B67" s="241" t="s">
        <v>208</v>
      </c>
      <c r="C67" s="151">
        <v>485</v>
      </c>
      <c r="D67" s="151">
        <v>140</v>
      </c>
      <c r="E67" s="237" t="s">
        <v>209</v>
      </c>
      <c r="F67" s="242" t="s">
        <v>210</v>
      </c>
      <c r="G67" s="152">
        <v>39</v>
      </c>
      <c r="H67" s="152">
        <v>51</v>
      </c>
    </row>
    <row r="68" spans="1:8" ht="15">
      <c r="A68" s="235" t="s">
        <v>211</v>
      </c>
      <c r="B68" s="241" t="s">
        <v>212</v>
      </c>
      <c r="C68" s="151">
        <v>2569</v>
      </c>
      <c r="D68" s="151">
        <f>1898-140</f>
        <v>1758</v>
      </c>
      <c r="E68" s="237" t="s">
        <v>213</v>
      </c>
      <c r="F68" s="242" t="s">
        <v>214</v>
      </c>
      <c r="G68" s="152">
        <v>12</v>
      </c>
      <c r="H68" s="152">
        <v>17</v>
      </c>
    </row>
    <row r="69" spans="1:8" ht="15">
      <c r="A69" s="235" t="s">
        <v>215</v>
      </c>
      <c r="B69" s="241" t="s">
        <v>216</v>
      </c>
      <c r="C69" s="151">
        <v>28</v>
      </c>
      <c r="D69" s="151">
        <v>36</v>
      </c>
      <c r="E69" s="251" t="s">
        <v>78</v>
      </c>
      <c r="F69" s="242" t="s">
        <v>217</v>
      </c>
      <c r="G69" s="152">
        <v>47</v>
      </c>
      <c r="H69" s="152">
        <v>50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10</v>
      </c>
      <c r="D71" s="151">
        <v>12</v>
      </c>
      <c r="E71" s="253" t="s">
        <v>46</v>
      </c>
      <c r="F71" s="273" t="s">
        <v>224</v>
      </c>
      <c r="G71" s="161">
        <f>G59+G60+G61+G69+G70</f>
        <v>3537</v>
      </c>
      <c r="H71" s="161">
        <f>H59+H60+H61+H69+H70</f>
        <v>2050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209</v>
      </c>
      <c r="D72" s="151">
        <v>133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</v>
      </c>
      <c r="D74" s="151">
        <v>134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3302</v>
      </c>
      <c r="D75" s="155">
        <f>SUM(D67:D74)</f>
        <v>2213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3537</v>
      </c>
      <c r="H79" s="162">
        <f>H71+H74+H75+H76</f>
        <v>2050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9</v>
      </c>
      <c r="D87" s="151">
        <v>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12</v>
      </c>
      <c r="D88" s="151">
        <v>13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21</v>
      </c>
      <c r="D91" s="155">
        <f>SUM(D87:D90)</f>
        <v>19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6235</v>
      </c>
      <c r="D93" s="155">
        <f>D64+D75+D84+D91+D92</f>
        <v>4590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9358</v>
      </c>
      <c r="D94" s="164">
        <f>D93+D55</f>
        <v>8282</v>
      </c>
      <c r="E94" s="449" t="s">
        <v>270</v>
      </c>
      <c r="F94" s="289" t="s">
        <v>271</v>
      </c>
      <c r="G94" s="165">
        <f>G36+G39+G55+G79</f>
        <v>9358</v>
      </c>
      <c r="H94" s="165">
        <f>H36+H39+H55+H79</f>
        <v>8282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630"/>
      <c r="H97" s="172"/>
      <c r="M97" s="157"/>
    </row>
    <row r="98" spans="1:13" ht="15">
      <c r="A98" s="45" t="s">
        <v>866</v>
      </c>
      <c r="B98" s="432"/>
      <c r="C98" s="580" t="s">
        <v>381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781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8" r:id="rId1"/>
  <headerFooter alignWithMargins="0">
    <oddHeader>&amp;R&amp;"Times New Roman Cyr,Regular"&amp;9СПРАВКА ПО ОБРАЗЕЦ  № 1</oddHeader>
  </headerFooter>
  <rowBreaks count="1" manualBreakCount="1">
    <brk id="47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 "Торготерм"АД</v>
      </c>
      <c r="C5" s="627"/>
      <c r="D5" s="627"/>
      <c r="E5" s="570" t="s">
        <v>2</v>
      </c>
      <c r="F5" s="451">
        <f>'справка №1-БАЛАНС'!H3</f>
        <v>819363984</v>
      </c>
    </row>
    <row r="6" spans="1:13" ht="15" customHeight="1">
      <c r="A6" s="27" t="s">
        <v>822</v>
      </c>
      <c r="B6" s="628" t="str">
        <f>'справка №1-БАЛАНС'!E5</f>
        <v>01.01.2010-30.06.2010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29" t="s">
        <v>849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856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9">
      <selection activeCell="G15" sqref="G15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 "Торготерм"АД</v>
      </c>
      <c r="C2" s="584"/>
      <c r="D2" s="584"/>
      <c r="E2" s="584"/>
      <c r="F2" s="586" t="s">
        <v>2</v>
      </c>
      <c r="G2" s="586"/>
      <c r="H2" s="526">
        <f>'справка №1-БАЛАНС'!H3</f>
        <v>819363984</v>
      </c>
    </row>
    <row r="3" spans="1:8" ht="15">
      <c r="A3" s="467" t="s">
        <v>274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01.01.2010-30.06.2010</v>
      </c>
      <c r="C4" s="585"/>
      <c r="D4" s="585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2487</v>
      </c>
      <c r="D9" s="46">
        <v>2451</v>
      </c>
      <c r="E9" s="298" t="s">
        <v>284</v>
      </c>
      <c r="F9" s="549" t="s">
        <v>285</v>
      </c>
      <c r="G9" s="550">
        <v>3454</v>
      </c>
      <c r="H9" s="550">
        <v>3148</v>
      </c>
    </row>
    <row r="10" spans="1:8" ht="12">
      <c r="A10" s="298" t="s">
        <v>286</v>
      </c>
      <c r="B10" s="299" t="s">
        <v>287</v>
      </c>
      <c r="C10" s="46">
        <v>125</v>
      </c>
      <c r="D10" s="46">
        <v>247</v>
      </c>
      <c r="E10" s="298" t="s">
        <v>288</v>
      </c>
      <c r="F10" s="549" t="s">
        <v>289</v>
      </c>
      <c r="G10" s="550">
        <v>88</v>
      </c>
      <c r="H10" s="550">
        <v>428</v>
      </c>
    </row>
    <row r="11" spans="1:8" ht="12">
      <c r="A11" s="298" t="s">
        <v>290</v>
      </c>
      <c r="B11" s="299" t="s">
        <v>291</v>
      </c>
      <c r="C11" s="46">
        <v>299</v>
      </c>
      <c r="D11" s="46">
        <v>408</v>
      </c>
      <c r="E11" s="300" t="s">
        <v>292</v>
      </c>
      <c r="F11" s="549" t="s">
        <v>293</v>
      </c>
      <c r="G11" s="550">
        <v>57</v>
      </c>
      <c r="H11" s="550">
        <v>71</v>
      </c>
    </row>
    <row r="12" spans="1:8" ht="12">
      <c r="A12" s="298" t="s">
        <v>294</v>
      </c>
      <c r="B12" s="299" t="s">
        <v>295</v>
      </c>
      <c r="C12" s="46">
        <v>782</v>
      </c>
      <c r="D12" s="46">
        <v>752</v>
      </c>
      <c r="E12" s="300" t="s">
        <v>78</v>
      </c>
      <c r="F12" s="549" t="s">
        <v>296</v>
      </c>
      <c r="G12" s="550">
        <f>130-14</f>
        <v>116</v>
      </c>
      <c r="H12" s="550">
        <v>91</v>
      </c>
    </row>
    <row r="13" spans="1:18" ht="12">
      <c r="A13" s="298" t="s">
        <v>297</v>
      </c>
      <c r="B13" s="299" t="s">
        <v>298</v>
      </c>
      <c r="C13" s="46">
        <v>96</v>
      </c>
      <c r="D13" s="46">
        <v>117</v>
      </c>
      <c r="E13" s="301" t="s">
        <v>51</v>
      </c>
      <c r="F13" s="551" t="s">
        <v>299</v>
      </c>
      <c r="G13" s="548">
        <f>SUM(G9:G12)</f>
        <v>3715</v>
      </c>
      <c r="H13" s="548">
        <f>SUM(H9:H12)</f>
        <v>3738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132</v>
      </c>
      <c r="D14" s="46">
        <v>359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-498</v>
      </c>
      <c r="D15" s="47">
        <f>-520-22-30</f>
        <v>-572</v>
      </c>
      <c r="E15" s="296" t="s">
        <v>304</v>
      </c>
      <c r="F15" s="554" t="s">
        <v>305</v>
      </c>
      <c r="G15" s="550">
        <v>14</v>
      </c>
      <c r="H15" s="550">
        <v>52</v>
      </c>
    </row>
    <row r="16" spans="1:8" ht="12">
      <c r="A16" s="298" t="s">
        <v>306</v>
      </c>
      <c r="B16" s="299" t="s">
        <v>307</v>
      </c>
      <c r="C16" s="47">
        <v>111</v>
      </c>
      <c r="D16" s="47">
        <v>213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3534</v>
      </c>
      <c r="D19" s="49">
        <f>SUM(D9:D15)+D16</f>
        <v>3975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54</v>
      </c>
      <c r="D22" s="46">
        <v>49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3</v>
      </c>
      <c r="D24" s="46">
        <v>4</v>
      </c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24</v>
      </c>
      <c r="D25" s="46">
        <v>8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81</v>
      </c>
      <c r="D26" s="49">
        <f>SUM(D22:D25)</f>
        <v>61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3615</v>
      </c>
      <c r="D28" s="50">
        <f>D26+D19</f>
        <v>4036</v>
      </c>
      <c r="E28" s="127" t="s">
        <v>338</v>
      </c>
      <c r="F28" s="554" t="s">
        <v>339</v>
      </c>
      <c r="G28" s="548">
        <f>G13+G15+G24</f>
        <v>3729</v>
      </c>
      <c r="H28" s="548">
        <f>H13+H15+H24</f>
        <v>3790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114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246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3615</v>
      </c>
      <c r="D33" s="49">
        <f>D28-D31+D32</f>
        <v>4036</v>
      </c>
      <c r="E33" s="127" t="s">
        <v>352</v>
      </c>
      <c r="F33" s="554" t="s">
        <v>353</v>
      </c>
      <c r="G33" s="53">
        <f>G32-G31+G28</f>
        <v>3729</v>
      </c>
      <c r="H33" s="53">
        <f>H32-H31+H28</f>
        <v>3790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114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246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114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246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114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246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3729</v>
      </c>
      <c r="D42" s="53">
        <f>D33+D35+D39</f>
        <v>4036</v>
      </c>
      <c r="E42" s="128" t="s">
        <v>379</v>
      </c>
      <c r="F42" s="129" t="s">
        <v>380</v>
      </c>
      <c r="G42" s="53">
        <f>G39+G33</f>
        <v>3729</v>
      </c>
      <c r="H42" s="53">
        <f>H39+H33</f>
        <v>4036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861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867</v>
      </c>
      <c r="C48" s="427" t="s">
        <v>381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43" bottom="0.24" header="0.27" footer="0.18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C41" sqref="C4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"Торготерм"АД</v>
      </c>
      <c r="C4" s="541" t="s">
        <v>2</v>
      </c>
      <c r="D4" s="541">
        <f>'справка №1-БАЛАНС'!H3</f>
        <v>819363984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01.01.2010-30.06.2010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f>3264-14</f>
        <v>3250</v>
      </c>
      <c r="D10" s="54">
        <v>4058</v>
      </c>
      <c r="E10" s="130"/>
      <c r="F10" s="130"/>
    </row>
    <row r="11" spans="1:13" ht="12.75">
      <c r="A11" s="332" t="s">
        <v>388</v>
      </c>
      <c r="B11" s="333" t="s">
        <v>389</v>
      </c>
      <c r="C11" s="575">
        <f>-2883+10+77</f>
        <v>-2796</v>
      </c>
      <c r="D11" s="575">
        <f>-3296+106</f>
        <v>-3190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75">
        <v>-500</v>
      </c>
      <c r="D13" s="575">
        <v>-766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75">
        <v>229</v>
      </c>
      <c r="D14" s="575">
        <v>177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.75">
      <c r="A15" s="334" t="s">
        <v>396</v>
      </c>
      <c r="B15" s="333" t="s">
        <v>397</v>
      </c>
      <c r="C15" s="575"/>
      <c r="D15" s="575">
        <v>-3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.75">
      <c r="A16" s="332" t="s">
        <v>398</v>
      </c>
      <c r="B16" s="333" t="s">
        <v>399</v>
      </c>
      <c r="C16" s="575"/>
      <c r="D16" s="575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.75">
      <c r="A17" s="332" t="s">
        <v>400</v>
      </c>
      <c r="B17" s="333" t="s">
        <v>401</v>
      </c>
      <c r="C17" s="575">
        <f>-9</f>
        <v>-9</v>
      </c>
      <c r="D17" s="575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.75">
      <c r="A18" s="334" t="s">
        <v>402</v>
      </c>
      <c r="B18" s="335" t="s">
        <v>403</v>
      </c>
      <c r="C18" s="575"/>
      <c r="D18" s="575">
        <v>-3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.75">
      <c r="A19" s="332" t="s">
        <v>404</v>
      </c>
      <c r="B19" s="333" t="s">
        <v>405</v>
      </c>
      <c r="C19" s="575">
        <v>-15</v>
      </c>
      <c r="D19" s="575">
        <v>-94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159</v>
      </c>
      <c r="D20" s="55">
        <f>SUM(D10:D19)</f>
        <v>179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.75">
      <c r="A22" s="332" t="s">
        <v>409</v>
      </c>
      <c r="B22" s="333" t="s">
        <v>410</v>
      </c>
      <c r="C22" s="575">
        <v>-10</v>
      </c>
      <c r="D22" s="575">
        <f>-2-106</f>
        <v>-108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14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4</v>
      </c>
      <c r="D32" s="55">
        <f>SUM(D22:D31)</f>
        <v>-108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489</v>
      </c>
      <c r="D36" s="54">
        <v>293</v>
      </c>
      <c r="E36" s="130"/>
      <c r="F36" s="130"/>
    </row>
    <row r="37" spans="1:6" ht="12.75">
      <c r="A37" s="332" t="s">
        <v>437</v>
      </c>
      <c r="B37" s="333" t="s">
        <v>438</v>
      </c>
      <c r="C37" s="575">
        <v>-394</v>
      </c>
      <c r="D37" s="575">
        <v>-100</v>
      </c>
      <c r="E37" s="130"/>
      <c r="F37" s="130"/>
    </row>
    <row r="38" spans="1:6" ht="12.75">
      <c r="A38" s="332" t="s">
        <v>439</v>
      </c>
      <c r="B38" s="333" t="s">
        <v>440</v>
      </c>
      <c r="C38" s="575">
        <v>-77</v>
      </c>
      <c r="D38" s="575"/>
      <c r="E38" s="130"/>
      <c r="F38" s="130"/>
    </row>
    <row r="39" spans="1:6" ht="12.75">
      <c r="A39" s="332" t="s">
        <v>441</v>
      </c>
      <c r="B39" s="333" t="s">
        <v>442</v>
      </c>
      <c r="C39" s="575">
        <f>-46+9</f>
        <v>-37</v>
      </c>
      <c r="D39" s="575">
        <v>-34</v>
      </c>
      <c r="E39" s="130"/>
      <c r="F39" s="130"/>
    </row>
    <row r="40" spans="1:6" ht="12.75">
      <c r="A40" s="332" t="s">
        <v>443</v>
      </c>
      <c r="B40" s="333" t="s">
        <v>444</v>
      </c>
      <c r="C40" s="575"/>
      <c r="D40" s="575">
        <v>-245</v>
      </c>
      <c r="E40" s="130"/>
      <c r="F40" s="130"/>
    </row>
    <row r="41" spans="1:8" ht="12.75">
      <c r="A41" s="332" t="s">
        <v>445</v>
      </c>
      <c r="B41" s="333" t="s">
        <v>446</v>
      </c>
      <c r="C41" s="575">
        <v>-151</v>
      </c>
      <c r="D41" s="575">
        <v>10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-170</v>
      </c>
      <c r="D42" s="55">
        <f>SUM(D34:D41)</f>
        <v>-76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-7</v>
      </c>
      <c r="D43" s="55">
        <f>D42+D32+D20</f>
        <v>-5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28</v>
      </c>
      <c r="D44" s="132">
        <v>24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21</v>
      </c>
      <c r="D45" s="55">
        <f>D44+D43</f>
        <v>19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21</v>
      </c>
      <c r="D46" s="56">
        <v>19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1496062992125984" right="0.1968503937007874" top="0.61" bottom="0.24" header="0.32" footer="0.18"/>
  <pageSetup horizontalDpi="600" verticalDpi="600" orientation="landscape" paperSize="9" scale="8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459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 "Торготерм"АД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819363984</v>
      </c>
      <c r="N3" s="2"/>
    </row>
    <row r="4" spans="1:15" s="532" customFormat="1" ht="13.5" customHeight="1">
      <c r="A4" s="467" t="s">
        <v>460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01.01.2010-30.06.2010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3000</v>
      </c>
      <c r="D11" s="58">
        <f>'справка №1-БАЛАНС'!H19</f>
        <v>0</v>
      </c>
      <c r="E11" s="58">
        <f>'справка №1-БАЛАНС'!H20</f>
        <v>1354</v>
      </c>
      <c r="F11" s="58">
        <f>'справка №1-БАЛАНС'!H22</f>
        <v>300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667</v>
      </c>
      <c r="J11" s="58">
        <f>'справка №1-БАЛАНС'!H29+'справка №1-БАЛАНС'!H32</f>
        <v>-246</v>
      </c>
      <c r="K11" s="60"/>
      <c r="L11" s="344">
        <f>SUM(C11:K11)</f>
        <v>5075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3000</v>
      </c>
      <c r="D15" s="61">
        <f aca="true" t="shared" si="2" ref="D15:M15">D11+D12</f>
        <v>0</v>
      </c>
      <c r="E15" s="61">
        <f t="shared" si="2"/>
        <v>1354</v>
      </c>
      <c r="F15" s="61">
        <f t="shared" si="2"/>
        <v>300</v>
      </c>
      <c r="G15" s="61">
        <f t="shared" si="2"/>
        <v>0</v>
      </c>
      <c r="H15" s="61">
        <f t="shared" si="2"/>
        <v>0</v>
      </c>
      <c r="I15" s="61">
        <f t="shared" si="2"/>
        <v>667</v>
      </c>
      <c r="J15" s="61">
        <f t="shared" si="2"/>
        <v>-246</v>
      </c>
      <c r="K15" s="61">
        <f t="shared" si="2"/>
        <v>0</v>
      </c>
      <c r="L15" s="344">
        <f t="shared" si="1"/>
        <v>5075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114</v>
      </c>
      <c r="J16" s="345">
        <f>+'справка №1-БАЛАНС'!G32</f>
        <v>0</v>
      </c>
      <c r="K16" s="60"/>
      <c r="L16" s="344">
        <f t="shared" si="1"/>
        <v>114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>
        <v>-3</v>
      </c>
      <c r="F28" s="60"/>
      <c r="G28" s="60"/>
      <c r="H28" s="60"/>
      <c r="I28" s="60">
        <v>4</v>
      </c>
      <c r="J28" s="60">
        <v>-195</v>
      </c>
      <c r="K28" s="60"/>
      <c r="L28" s="344">
        <f t="shared" si="1"/>
        <v>-194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3000</v>
      </c>
      <c r="D29" s="59">
        <f aca="true" t="shared" si="6" ref="D29:M29">D17+D20+D21+D24+D28+D27+D15+D16</f>
        <v>0</v>
      </c>
      <c r="E29" s="59">
        <f t="shared" si="6"/>
        <v>1351</v>
      </c>
      <c r="F29" s="59">
        <f t="shared" si="6"/>
        <v>300</v>
      </c>
      <c r="G29" s="59">
        <f t="shared" si="6"/>
        <v>0</v>
      </c>
      <c r="H29" s="59">
        <f t="shared" si="6"/>
        <v>0</v>
      </c>
      <c r="I29" s="59">
        <f t="shared" si="6"/>
        <v>785</v>
      </c>
      <c r="J29" s="59">
        <f t="shared" si="6"/>
        <v>-441</v>
      </c>
      <c r="K29" s="59">
        <f t="shared" si="6"/>
        <v>0</v>
      </c>
      <c r="L29" s="344">
        <f t="shared" si="1"/>
        <v>4995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3000</v>
      </c>
      <c r="D32" s="59">
        <f t="shared" si="7"/>
        <v>0</v>
      </c>
      <c r="E32" s="59">
        <f t="shared" si="7"/>
        <v>1351</v>
      </c>
      <c r="F32" s="59">
        <f t="shared" si="7"/>
        <v>300</v>
      </c>
      <c r="G32" s="59">
        <f t="shared" si="7"/>
        <v>0</v>
      </c>
      <c r="H32" s="59">
        <f t="shared" si="7"/>
        <v>0</v>
      </c>
      <c r="I32" s="59">
        <f t="shared" si="7"/>
        <v>785</v>
      </c>
      <c r="J32" s="59">
        <f t="shared" si="7"/>
        <v>-441</v>
      </c>
      <c r="K32" s="59">
        <f t="shared" si="7"/>
        <v>0</v>
      </c>
      <c r="L32" s="344">
        <f t="shared" si="1"/>
        <v>4995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862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0" t="s">
        <v>521</v>
      </c>
      <c r="E38" s="590"/>
      <c r="F38" s="590"/>
      <c r="G38" s="590"/>
      <c r="H38" s="590"/>
      <c r="I38" s="590"/>
      <c r="J38" s="15" t="s">
        <v>857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R17" sqref="R17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383</v>
      </c>
      <c r="B2" s="597"/>
      <c r="C2" s="598" t="str">
        <f>'справка №1-БАЛАНС'!E3</f>
        <v> "Торготерм"АД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819363984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01.01.2010-30.06.2010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5" t="s">
        <v>463</v>
      </c>
      <c r="B5" s="606"/>
      <c r="C5" s="609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2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2" t="s">
        <v>529</v>
      </c>
      <c r="R5" s="602" t="s">
        <v>530</v>
      </c>
    </row>
    <row r="6" spans="1:18" s="100" customFormat="1" ht="48">
      <c r="A6" s="607"/>
      <c r="B6" s="608"/>
      <c r="C6" s="610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3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3"/>
      <c r="R6" s="603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330</v>
      </c>
      <c r="E9" s="189"/>
      <c r="F9" s="189"/>
      <c r="G9" s="74">
        <f>D9+E9-F9</f>
        <v>330</v>
      </c>
      <c r="H9" s="65"/>
      <c r="I9" s="65"/>
      <c r="J9" s="74">
        <f>G9+H9-I9</f>
        <v>330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330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1843</v>
      </c>
      <c r="E10" s="189"/>
      <c r="F10" s="189"/>
      <c r="G10" s="74">
        <f aca="true" t="shared" si="2" ref="G10:G39">D10+E10-F10</f>
        <v>1843</v>
      </c>
      <c r="H10" s="65"/>
      <c r="I10" s="65"/>
      <c r="J10" s="74">
        <f aca="true" t="shared" si="3" ref="J10:J39">G10+H10-I10</f>
        <v>1843</v>
      </c>
      <c r="K10" s="65">
        <v>379</v>
      </c>
      <c r="L10" s="65">
        <v>37</v>
      </c>
      <c r="M10" s="65"/>
      <c r="N10" s="74">
        <f aca="true" t="shared" si="4" ref="N10:N39">K10+L10-M10</f>
        <v>416</v>
      </c>
      <c r="O10" s="65"/>
      <c r="P10" s="65"/>
      <c r="Q10" s="74">
        <f t="shared" si="0"/>
        <v>416</v>
      </c>
      <c r="R10" s="74">
        <f t="shared" si="1"/>
        <v>1427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4967</v>
      </c>
      <c r="E11" s="189">
        <v>3</v>
      </c>
      <c r="F11" s="189">
        <v>2</v>
      </c>
      <c r="G11" s="74">
        <f t="shared" si="2"/>
        <v>4968</v>
      </c>
      <c r="H11" s="65"/>
      <c r="I11" s="65"/>
      <c r="J11" s="74">
        <f t="shared" si="3"/>
        <v>4968</v>
      </c>
      <c r="K11" s="65">
        <v>3788</v>
      </c>
      <c r="L11" s="65">
        <v>196</v>
      </c>
      <c r="M11" s="65">
        <v>2</v>
      </c>
      <c r="N11" s="74">
        <f t="shared" si="4"/>
        <v>3982</v>
      </c>
      <c r="O11" s="65"/>
      <c r="P11" s="65"/>
      <c r="Q11" s="74">
        <f t="shared" si="0"/>
        <v>3982</v>
      </c>
      <c r="R11" s="74">
        <f t="shared" si="1"/>
        <v>986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329</v>
      </c>
      <c r="E12" s="189"/>
      <c r="F12" s="189"/>
      <c r="G12" s="74">
        <f t="shared" si="2"/>
        <v>329</v>
      </c>
      <c r="H12" s="65"/>
      <c r="I12" s="65"/>
      <c r="J12" s="74">
        <f t="shared" si="3"/>
        <v>329</v>
      </c>
      <c r="K12" s="65">
        <v>182</v>
      </c>
      <c r="L12" s="65">
        <v>7</v>
      </c>
      <c r="M12" s="65"/>
      <c r="N12" s="74">
        <f t="shared" si="4"/>
        <v>189</v>
      </c>
      <c r="O12" s="65"/>
      <c r="P12" s="65"/>
      <c r="Q12" s="74">
        <f t="shared" si="0"/>
        <v>189</v>
      </c>
      <c r="R12" s="74">
        <f t="shared" si="1"/>
        <v>140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272</v>
      </c>
      <c r="E13" s="189"/>
      <c r="F13" s="189">
        <v>46</v>
      </c>
      <c r="G13" s="74">
        <f t="shared" si="2"/>
        <v>226</v>
      </c>
      <c r="H13" s="65"/>
      <c r="I13" s="65"/>
      <c r="J13" s="74">
        <f t="shared" si="3"/>
        <v>226</v>
      </c>
      <c r="K13" s="65">
        <v>192</v>
      </c>
      <c r="L13" s="65">
        <v>22</v>
      </c>
      <c r="M13" s="65">
        <v>36</v>
      </c>
      <c r="N13" s="74">
        <f t="shared" si="4"/>
        <v>178</v>
      </c>
      <c r="O13" s="65"/>
      <c r="P13" s="65"/>
      <c r="Q13" s="74">
        <f t="shared" si="0"/>
        <v>178</v>
      </c>
      <c r="R13" s="74">
        <f t="shared" si="1"/>
        <v>48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f>168+247+293</f>
        <v>708</v>
      </c>
      <c r="E14" s="189">
        <f>6+1</f>
        <v>7</v>
      </c>
      <c r="F14" s="189">
        <v>12</v>
      </c>
      <c r="G14" s="74">
        <f t="shared" si="2"/>
        <v>703</v>
      </c>
      <c r="H14" s="65"/>
      <c r="I14" s="65"/>
      <c r="J14" s="74">
        <f t="shared" si="3"/>
        <v>703</v>
      </c>
      <c r="K14" s="65">
        <f>138+150+254</f>
        <v>542</v>
      </c>
      <c r="L14" s="65">
        <f>8+12+10</f>
        <v>30</v>
      </c>
      <c r="M14" s="65">
        <v>12</v>
      </c>
      <c r="N14" s="74">
        <f t="shared" si="4"/>
        <v>560</v>
      </c>
      <c r="O14" s="65"/>
      <c r="P14" s="65"/>
      <c r="Q14" s="74">
        <f t="shared" si="0"/>
        <v>560</v>
      </c>
      <c r="R14" s="74">
        <f t="shared" si="1"/>
        <v>143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11</v>
      </c>
      <c r="E15" s="457"/>
      <c r="F15" s="457"/>
      <c r="G15" s="74">
        <f t="shared" si="2"/>
        <v>11</v>
      </c>
      <c r="H15" s="458"/>
      <c r="I15" s="458"/>
      <c r="J15" s="74">
        <f t="shared" si="3"/>
        <v>11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11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8460</v>
      </c>
      <c r="E17" s="194">
        <f>SUM(E9:E16)</f>
        <v>10</v>
      </c>
      <c r="F17" s="194">
        <f>SUM(F9:F16)</f>
        <v>60</v>
      </c>
      <c r="G17" s="74">
        <f t="shared" si="2"/>
        <v>8410</v>
      </c>
      <c r="H17" s="75">
        <f>SUM(H9:H16)</f>
        <v>0</v>
      </c>
      <c r="I17" s="75">
        <f>SUM(I9:I16)</f>
        <v>0</v>
      </c>
      <c r="J17" s="74">
        <f t="shared" si="3"/>
        <v>8410</v>
      </c>
      <c r="K17" s="75">
        <f>SUM(K9:K16)</f>
        <v>5083</v>
      </c>
      <c r="L17" s="75">
        <f>SUM(L9:L16)</f>
        <v>292</v>
      </c>
      <c r="M17" s="75">
        <f>SUM(M9:M16)</f>
        <v>50</v>
      </c>
      <c r="N17" s="74">
        <f t="shared" si="4"/>
        <v>5325</v>
      </c>
      <c r="O17" s="75">
        <f>SUM(O9:O16)</f>
        <v>0</v>
      </c>
      <c r="P17" s="75">
        <f>SUM(P9:P16)</f>
        <v>0</v>
      </c>
      <c r="Q17" s="74">
        <f t="shared" si="5"/>
        <v>5325</v>
      </c>
      <c r="R17" s="74">
        <f t="shared" si="6"/>
        <v>3085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74</v>
      </c>
      <c r="E22" s="189"/>
      <c r="F22" s="189">
        <v>3</v>
      </c>
      <c r="G22" s="74">
        <f t="shared" si="2"/>
        <v>71</v>
      </c>
      <c r="H22" s="65"/>
      <c r="I22" s="65"/>
      <c r="J22" s="74">
        <f t="shared" si="3"/>
        <v>71</v>
      </c>
      <c r="K22" s="65">
        <v>32</v>
      </c>
      <c r="L22" s="65">
        <v>8</v>
      </c>
      <c r="M22" s="65">
        <v>3</v>
      </c>
      <c r="N22" s="74">
        <f t="shared" si="4"/>
        <v>37</v>
      </c>
      <c r="O22" s="65"/>
      <c r="P22" s="65"/>
      <c r="Q22" s="74">
        <f t="shared" si="5"/>
        <v>37</v>
      </c>
      <c r="R22" s="74">
        <f t="shared" si="6"/>
        <v>34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74</v>
      </c>
      <c r="E25" s="190">
        <f aca="true" t="shared" si="7" ref="E25:P25">SUM(E21:E24)</f>
        <v>0</v>
      </c>
      <c r="F25" s="190">
        <f t="shared" si="7"/>
        <v>3</v>
      </c>
      <c r="G25" s="67">
        <f t="shared" si="2"/>
        <v>71</v>
      </c>
      <c r="H25" s="66">
        <f t="shared" si="7"/>
        <v>0</v>
      </c>
      <c r="I25" s="66">
        <f t="shared" si="7"/>
        <v>0</v>
      </c>
      <c r="J25" s="67">
        <f t="shared" si="3"/>
        <v>71</v>
      </c>
      <c r="K25" s="66">
        <f t="shared" si="7"/>
        <v>32</v>
      </c>
      <c r="L25" s="66">
        <f t="shared" si="7"/>
        <v>8</v>
      </c>
      <c r="M25" s="66">
        <f t="shared" si="7"/>
        <v>3</v>
      </c>
      <c r="N25" s="67">
        <f t="shared" si="4"/>
        <v>37</v>
      </c>
      <c r="O25" s="66">
        <f t="shared" si="7"/>
        <v>0</v>
      </c>
      <c r="P25" s="66">
        <f t="shared" si="7"/>
        <v>0</v>
      </c>
      <c r="Q25" s="67">
        <f t="shared" si="5"/>
        <v>37</v>
      </c>
      <c r="R25" s="67">
        <f t="shared" si="6"/>
        <v>34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8534</v>
      </c>
      <c r="E40" s="438">
        <f>E17+E18+E19+E25+E38+E39</f>
        <v>10</v>
      </c>
      <c r="F40" s="438">
        <f aca="true" t="shared" si="13" ref="F40:R40">F17+F18+F19+F25+F38+F39</f>
        <v>63</v>
      </c>
      <c r="G40" s="438">
        <f t="shared" si="13"/>
        <v>8481</v>
      </c>
      <c r="H40" s="438">
        <f t="shared" si="13"/>
        <v>0</v>
      </c>
      <c r="I40" s="438">
        <f t="shared" si="13"/>
        <v>0</v>
      </c>
      <c r="J40" s="438">
        <f t="shared" si="13"/>
        <v>8481</v>
      </c>
      <c r="K40" s="438">
        <f t="shared" si="13"/>
        <v>5115</v>
      </c>
      <c r="L40" s="438">
        <f t="shared" si="13"/>
        <v>300</v>
      </c>
      <c r="M40" s="438">
        <f t="shared" si="13"/>
        <v>53</v>
      </c>
      <c r="N40" s="438">
        <f t="shared" si="13"/>
        <v>5362</v>
      </c>
      <c r="O40" s="438">
        <f t="shared" si="13"/>
        <v>0</v>
      </c>
      <c r="P40" s="438">
        <f t="shared" si="13"/>
        <v>0</v>
      </c>
      <c r="Q40" s="438">
        <f t="shared" si="13"/>
        <v>5362</v>
      </c>
      <c r="R40" s="438">
        <f t="shared" si="13"/>
        <v>3119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1"/>
      <c r="L44" s="611"/>
      <c r="M44" s="611"/>
      <c r="N44" s="611"/>
      <c r="O44" s="600" t="s">
        <v>781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40">
      <selection activeCell="C28" sqref="C2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609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8" t="str">
        <f>'справка №1-БАЛАНС'!E3</f>
        <v> "Торготерм"АД</v>
      </c>
      <c r="C3" s="619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01.01.2010-30.06.2010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485</v>
      </c>
      <c r="D24" s="119">
        <f>SUM(D25:D27)</f>
        <v>485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485</v>
      </c>
      <c r="D27" s="108">
        <v>485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2569</v>
      </c>
      <c r="D28" s="108">
        <v>2569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28</v>
      </c>
      <c r="D29" s="108">
        <v>28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10</v>
      </c>
      <c r="D31" s="108">
        <v>10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209</v>
      </c>
      <c r="D33" s="105">
        <f>SUM(D34:D37)</f>
        <v>209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83</v>
      </c>
      <c r="D34" s="108">
        <v>83</v>
      </c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126</v>
      </c>
      <c r="D35" s="108">
        <v>126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</v>
      </c>
      <c r="D42" s="108">
        <v>1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3302</v>
      </c>
      <c r="D43" s="104">
        <f>D24+D28+D29+D31+D30+D32+D33+D38</f>
        <v>3302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3302</v>
      </c>
      <c r="D44" s="103">
        <f>D43+D21+D19+D9</f>
        <v>3302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434</v>
      </c>
      <c r="D56" s="103">
        <f>D57+D59</f>
        <v>0</v>
      </c>
      <c r="E56" s="119">
        <f t="shared" si="1"/>
        <v>434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434</v>
      </c>
      <c r="D57" s="108"/>
      <c r="E57" s="119">
        <f t="shared" si="1"/>
        <v>434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286</v>
      </c>
      <c r="D64" s="108"/>
      <c r="E64" s="119">
        <f t="shared" si="1"/>
        <v>286</v>
      </c>
      <c r="F64" s="110"/>
    </row>
    <row r="65" spans="1:6" ht="12">
      <c r="A65" s="396" t="s">
        <v>709</v>
      </c>
      <c r="B65" s="397" t="s">
        <v>710</v>
      </c>
      <c r="C65" s="109">
        <v>286</v>
      </c>
      <c r="D65" s="109"/>
      <c r="E65" s="119">
        <f t="shared" si="1"/>
        <v>286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720</v>
      </c>
      <c r="D66" s="103">
        <f>D52+D56+D61+D62+D63+D64</f>
        <v>0</v>
      </c>
      <c r="E66" s="119">
        <f t="shared" si="1"/>
        <v>720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29</v>
      </c>
      <c r="D68" s="108"/>
      <c r="E68" s="119">
        <f t="shared" si="1"/>
        <v>29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16</v>
      </c>
      <c r="D71" s="105">
        <f>SUM(D72:D74)</f>
        <v>16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16</v>
      </c>
      <c r="D74" s="108">
        <v>16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489</v>
      </c>
      <c r="D75" s="103">
        <f>D76+D78</f>
        <v>489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489</v>
      </c>
      <c r="D76" s="108">
        <v>489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200</v>
      </c>
      <c r="D80" s="103">
        <f>SUM(D81:D84)</f>
        <v>200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v>200</v>
      </c>
      <c r="D83" s="108">
        <v>200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2785</v>
      </c>
      <c r="D85" s="104">
        <f>SUM(D86:D90)+D94</f>
        <v>2785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>
        <v>117</v>
      </c>
      <c r="D86" s="108">
        <v>117</v>
      </c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2320</v>
      </c>
      <c r="D87" s="108">
        <v>2320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133</v>
      </c>
      <c r="D88" s="108">
        <v>133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164</v>
      </c>
      <c r="D89" s="108">
        <v>164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12</v>
      </c>
      <c r="D90" s="103">
        <f>SUM(D91:D93)</f>
        <v>12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12</v>
      </c>
      <c r="D93" s="108">
        <v>12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39</v>
      </c>
      <c r="D94" s="108">
        <v>39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47</v>
      </c>
      <c r="D95" s="108">
        <v>47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3537</v>
      </c>
      <c r="D96" s="104">
        <f>D85+D80+D75+D71+D95</f>
        <v>3537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4286</v>
      </c>
      <c r="D97" s="104">
        <f>D96+D68+D66</f>
        <v>3537</v>
      </c>
      <c r="E97" s="104">
        <f>E96+E68+E66</f>
        <v>749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780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871</v>
      </c>
      <c r="B109" s="613"/>
      <c r="C109" s="613" t="s">
        <v>381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781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8">
      <selection activeCell="A53" sqref="A5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609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8" t="str">
        <f>'справка №1-БАЛАНС'!E3</f>
        <v> "Торготерм"АД</v>
      </c>
      <c r="C3" s="619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01.01.2010-30.06.2010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872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f>1288+32+160</f>
        <v>1480</v>
      </c>
      <c r="D28" s="108">
        <v>1480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/>
      <c r="D38" s="105"/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1480</v>
      </c>
      <c r="D43" s="104">
        <f>D24+D28+D29+D31+D30+D32+D33+D38</f>
        <v>1480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1480</v>
      </c>
      <c r="D44" s="103">
        <f>D43+D21+D19+D9</f>
        <v>1480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874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/>
      <c r="D71" s="105"/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/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/>
      <c r="D80" s="103"/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</v>
      </c>
      <c r="D85" s="104">
        <f>SUM(D86:D90)+D94</f>
        <v>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3</v>
      </c>
      <c r="D87" s="108">
        <v>3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/>
      <c r="D90" s="103"/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3</v>
      </c>
      <c r="D96" s="104">
        <f>D85+D80+D75+D71+D95</f>
        <v>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3</v>
      </c>
      <c r="D97" s="104">
        <f>D96+D68+D66</f>
        <v>3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780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871</v>
      </c>
      <c r="B109" s="613"/>
      <c r="C109" s="613" t="s">
        <v>381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781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/>
  <mergeCells count="7">
    <mergeCell ref="C111:F111"/>
    <mergeCell ref="A1:E1"/>
    <mergeCell ref="B3:C3"/>
    <mergeCell ref="B4:C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1">
      <selection activeCell="D28" sqref="D2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609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8" t="str">
        <f>'справка №1-БАЛАНС'!E3</f>
        <v> "Торготерм"АД</v>
      </c>
      <c r="C3" s="619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01.01.2010-30.06.2010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873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628</v>
      </c>
      <c r="D28" s="108">
        <v>628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/>
      <c r="D38" s="105"/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628</v>
      </c>
      <c r="D43" s="104">
        <f>D24+D28+D29+D31+D30+D32+D33+D38</f>
        <v>628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628</v>
      </c>
      <c r="D44" s="103">
        <f>D43+D21+D19+D9</f>
        <v>628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875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/>
      <c r="D71" s="105"/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/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/>
      <c r="D80" s="103"/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</v>
      </c>
      <c r="D85" s="104">
        <f>SUM(D86:D90)+D94</f>
        <v>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3</v>
      </c>
      <c r="D87" s="108">
        <v>3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/>
      <c r="D90" s="103"/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3</v>
      </c>
      <c r="D96" s="104">
        <f>D85+D80+D75+D71+D95</f>
        <v>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3</v>
      </c>
      <c r="D97" s="104">
        <f>D96+D68+D66</f>
        <v>3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780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871</v>
      </c>
      <c r="B109" s="613"/>
      <c r="C109" s="613" t="s">
        <v>381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781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/>
  <mergeCells count="7">
    <mergeCell ref="C111:F111"/>
    <mergeCell ref="A1:E1"/>
    <mergeCell ref="B3:C3"/>
    <mergeCell ref="B4:C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0" t="str">
        <f>'справка №1-БАЛАНС'!E3</f>
        <v> "Торготерм"АД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819363984</v>
      </c>
    </row>
    <row r="5" spans="1:9" ht="15">
      <c r="A5" s="501" t="s">
        <v>5</v>
      </c>
      <c r="B5" s="621" t="str">
        <f>'справка №1-БАЛАНС'!E5</f>
        <v>01.01.2010-30.06.2010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871</v>
      </c>
      <c r="B30" s="623"/>
      <c r="C30" s="623"/>
      <c r="D30" s="459" t="s">
        <v>819</v>
      </c>
      <c r="E30" s="622"/>
      <c r="F30" s="622"/>
      <c r="G30" s="622"/>
      <c r="H30" s="420" t="s">
        <v>781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Evelina Y. Milenska</cp:lastModifiedBy>
  <cp:lastPrinted>2010-07-27T07:57:30Z</cp:lastPrinted>
  <dcterms:created xsi:type="dcterms:W3CDTF">2000-06-29T12:02:40Z</dcterms:created>
  <dcterms:modified xsi:type="dcterms:W3CDTF">2010-07-27T11:48:18Z</dcterms:modified>
  <cp:category/>
  <cp:version/>
  <cp:contentType/>
  <cp:contentStatus/>
</cp:coreProperties>
</file>