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<sst xmlns="http://schemas.openxmlformats.org/spreadsheetml/2006/main" count="1983" uniqueCount="695">
  <si>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</si>
  <si>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</si>
  <si>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</si>
  <si>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</si>
  <si>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</si>
  <si>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</si>
  <si>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</si>
  <si>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</si>
  <si>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</si>
  <si>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</si>
  <si>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</si>
  <si>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</si>
  <si>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</si>
  <si>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</si>
  <si>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</si>
  <si>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</si>
  <si>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</si>
  <si>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</si>
  <si>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</si>
  <si>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</si>
  <si>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</si>
  <si>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</si>
  <si>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</si>
  <si>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</si>
  <si>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</si>
  <si>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</si>
  <si>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</si>
  <si>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</si>
  <si>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</si>
  <si>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</si>
  <si>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</si>
  <si>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</si>
  <si>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</si>
  <si>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</si>
  <si>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</si>
  <si>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</si>
  <si>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</si>
  <si>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</si>
  <si>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</si>
  <si>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</si>
  <si>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</si>
  <si>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</si>
  <si>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</si>
  <si>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</si>
  <si>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</si>
  <si>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</si>
  <si>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</si>
  <si>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</si>
  <si>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</si>
  <si>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</si>
  <si>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</si>
  <si>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</si>
  <si>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</si>
  <si>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</si>
  <si>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</si>
  <si>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</si>
  <si>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</si>
  <si>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</si>
  <si>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</si>
  <si>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</si>
  <si>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</si>
  <si>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</si>
  <si>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</si>
  <si>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</si>
  <si>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</si>
  <si>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</si>
  <si>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</si>
  <si>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</si>
  <si>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</si>
  <si>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</si>
  <si>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</si>
  <si>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</si>
  <si>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</si>
  <si>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</si>
  <si>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</si>
  <si>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</si>
  <si>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</si>
  <si>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</si>
  <si>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</si>
  <si>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</si>
  <si>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</si>
  <si>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</si>
  <si>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</si>
  <si>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</si>
  <si>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</si>
  <si>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</si>
  <si>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</si>
  <si>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</si>
  <si>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</si>
  <si>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</si>
  <si>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</si>
  <si>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</si>
  <si>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</si>
  <si>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</si>
  <si>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</si>
  <si>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</si>
  <si>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</si>
  <si>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</si>
  <si>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</si>
  <si>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</si>
  <si>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</si>
  <si>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</si>
  <si>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</si>
  <si>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</si>
  <si>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</si>
  <si>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</si>
  <si>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</si>
  <si>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</si>
  <si>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</si>
  <si>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</si>
  <si>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</si>
  <si>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</si>
  <si>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</si>
  <si>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</si>
  <si>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</si>
  <si>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</si>
  <si>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</si>
  <si>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</si>
  <si>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</si>
  <si>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</si>
  <si>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</si>
  <si>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</si>
  <si>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</si>
  <si>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</si>
  <si>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</si>
  <si>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</si>
  <si>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</si>
  <si>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</si>
  <si>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</si>
  <si>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</si>
  <si>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</si>
  <si>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</si>
  <si>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</si>
  <si>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</si>
  <si>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</si>
  <si>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</si>
  <si>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</si>
  <si>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</si>
  <si>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</si>
  <si>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</si>
  <si>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</si>
  <si>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</si>
  <si>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</si>
  <si>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</si>
  <si>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</si>
  <si>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</si>
  <si>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</si>
  <si>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</si>
  <si>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</si>
  <si>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</si>
  <si>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</si>
  <si>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</si>
  <si>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</si>
  <si>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</si>
  <si>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</si>
  <si>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</si>
  <si>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</si>
  <si>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</si>
  <si>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</si>
  <si>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</si>
  <si>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</si>
  <si>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</si>
  <si>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</si>
  <si>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</si>
  <si>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</si>
  <si>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</si>
  <si>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</si>
  <si>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</si>
  <si>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</si>
  <si>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</si>
  <si>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</si>
  <si>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</si>
  <si>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</si>
  <si>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</si>
  <si>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</si>
  <si>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</si>
  <si>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</si>
  <si>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</si>
  <si>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</si>
  <si>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</si>
  <si>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</si>
  <si>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</si>
  <si>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</si>
  <si>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</si>
  <si>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</si>
  <si>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</si>
  <si>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</si>
  <si>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</si>
  <si>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</si>
  <si>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</si>
  <si>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</si>
  <si>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</si>
  <si>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</si>
  <si>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</si>
  <si>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</si>
  <si>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</si>
  <si>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</si>
  <si>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</si>
  <si>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</si>
  <si>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</si>
  <si>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</si>
  <si>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</si>
  <si>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</si>
  <si>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</si>
  <si>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</si>
  <si>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</si>
  <si>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</si>
  <si>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</si>
  <si>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</si>
  <si>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</si>
  <si>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</si>
  <si>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</si>
  <si>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</si>
  <si>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</si>
  <si>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</si>
  <si>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</si>
  <si>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</si>
  <si>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</si>
  <si>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</si>
  <si>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</si>
  <si>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</si>
  <si>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</si>
  <si>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</si>
  <si>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</si>
  <si>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</si>
  <si>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</si>
  <si>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</si>
  <si>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</si>
  <si>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</si>
  <si>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</si>
  <si>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</si>
  <si>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</si>
  <si>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</si>
  <si>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</si>
  <si>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</si>
  <si>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</si>
  <si>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</si>
  <si>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</si>
  <si>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</si>
  <si>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</si>
  <si>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</si>
  <si>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</si>
  <si>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</si>
  <si>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</si>
  <si>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</si>
  <si>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</si>
  <si>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</si>
  <si>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</si>
  <si>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</si>
  <si>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</si>
  <si>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</si>
  <si>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</si>
  <si>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</si>
  <si>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</si>
  <si>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</si>
  <si>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</si>
  <si>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</si>
  <si>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</si>
  <si>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</si>
  <si>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</si>
  <si>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</si>
  <si>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</si>
  <si>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</si>
  <si>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</si>
  <si>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</si>
  <si>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</si>
  <si>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</si>
  <si>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</si>
  <si>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</si>
  <si>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</si>
  <si>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</si>
  <si>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</si>
  <si>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</si>
  <si>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</si>
  <si>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</si>
  <si>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</si>
  <si>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</si>
  <si>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</si>
  <si>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</si>
  <si>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</si>
  <si>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</si>
  <si>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</si>
  <si>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</si>
  <si>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</si>
  <si>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</si>
  <si>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</si>
  <si>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</si>
  <si>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</si>
  <si>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</si>
  <si>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</si>
  <si>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</si>
  <si>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</si>
  <si>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</si>
  <si>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</si>
  <si>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</si>
  <si>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</si>
  <si>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</si>
  <si>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</si>
  <si>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</si>
  <si>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</si>
  <si>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</si>
  <si>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</si>
  <si>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</si>
  <si>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</si>
  <si>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</si>
  <si>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</si>
  <si>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</si>
  <si>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</si>
  <si>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</si>
  <si>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</si>
  <si>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</si>
  <si>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</si>
  <si>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</si>
  <si>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</si>
  <si>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</si>
  <si>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</si>
  <si>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</si>
  <si>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</si>
  <si>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</si>
  <si>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</si>
  <si>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</si>
  <si>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</si>
  <si>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</si>
  <si>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</si>
  <si>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</si>
  <si>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</si>
  <si>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</si>
  <si>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</si>
  <si>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</si>
  <si>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</si>
  <si>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</si>
  <si>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</si>
  <si>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</si>
  <si>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</si>
  <si>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</si>
  <si>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</si>
  <si>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</si>
  <si>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</si>
  <si>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</si>
  <si>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</si>
  <si>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</si>
  <si>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</si>
  <si>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</si>
  <si>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</si>
  <si>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</si>
  <si>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</si>
  <si>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</si>
  <si>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</si>
  <si>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</si>
  <si>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</si>
  <si>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</si>
  <si>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</si>
  <si>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</si>
  <si>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</si>
  <si>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</si>
  <si>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</si>
  <si>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</si>
  <si>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</si>
  <si>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</si>
  <si>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</si>
  <si>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</si>
  <si>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</si>
  <si>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</si>
  <si>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</si>
  <si>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</si>
  <si>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</si>
  <si>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</si>
  <si>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</si>
  <si>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</si>
  <si>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</si>
  <si>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</si>
  <si>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</si>
  <si>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</si>
  <si>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</si>
  <si>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</si>
  <si>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</si>
  <si>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</si>
  <si>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</si>
  <si>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</si>
  <si>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</si>
  <si>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</si>
  <si>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</si>
  <si>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</si>
  <si>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</si>
  <si>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</si>
  <si>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</si>
  <si>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</si>
  <si>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</si>
  <si>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</si>
  <si>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</si>
  <si>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</si>
  <si>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</si>
  <si>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</si>
  <si>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</si>
  <si>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</si>
  <si>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</si>
  <si>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</si>
  <si>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</si>
  <si>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</si>
  <si>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</si>
  <si>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</si>
  <si>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</si>
  <si>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</si>
  <si>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</si>
  <si>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</si>
  <si>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</si>
  <si>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</si>
  <si>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</si>
  <si>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</si>
  <si>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</si>
  <si>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</si>
  <si>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</si>
  <si>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</si>
  <si>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</si>
  <si>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</si>
  <si>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</si>
  <si>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</si>
  <si>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</si>
  <si>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</si>
  <si>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</si>
  <si>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</si>
  <si>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</si>
  <si>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</si>
  <si>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</si>
  <si>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</si>
  <si>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</si>
  <si>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</si>
  <si>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</si>
  <si>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</si>
  <si>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</si>
  <si>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</si>
  <si>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</si>
  <si>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</si>
  <si>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</si>
  <si>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</si>
  <si>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</si>
  <si>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</si>
  <si>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</si>
  <si>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</si>
  <si>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</si>
  <si>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</si>
  <si>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</si>
  <si>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</si>
  <si>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</si>
  <si>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</si>
  <si>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</si>
  <si>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</si>
  <si>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</si>
  <si>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</si>
  <si>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</si>
  <si>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</si>
  <si>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</si>
  <si>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</si>
  <si>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</si>
  <si>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</si>
  <si>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</si>
  <si>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</si>
  <si>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</si>
  <si>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</si>
  <si>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</si>
  <si>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</si>
  <si>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</si>
  <si>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</si>
  <si>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</si>
  <si>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</si>
  <si>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</si>
  <si>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</si>
  <si>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</si>
  <si>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</si>
  <si>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</si>
  <si>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</si>
  <si>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</si>
  <si>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</si>
  <si>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</si>
  <si>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</si>
  <si>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</si>
  <si>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</si>
  <si>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</si>
  <si>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</si>
  <si>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</si>
  <si>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</si>
  <si>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</si>
  <si>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</si>
  <si>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</si>
  <si>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</si>
  <si>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</si>
  <si>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</si>
  <si>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</si>
  <si>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</si>
  <si>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</si>
  <si>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</si>
  <si>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</si>
  <si>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</si>
  <si>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</si>
  <si>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</si>
  <si>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</si>
  <si>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</si>
  <si>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</si>
  <si>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</si>
  <si>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</si>
  <si>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</si>
  <si>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</si>
  <si>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</si>
  <si>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</si>
  <si>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</si>
  <si>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</si>
  <si>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</si>
  <si>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</si>
  <si>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</si>
  <si>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</si>
  <si>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</si>
  <si>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</si>
  <si>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</si>
  <si>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</si>
  <si>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</si>
  <si>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</si>
  <si>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</si>
  <si>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</si>
  <si>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</si>
  <si>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</si>
  <si>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</si>
  <si>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</si>
  <si>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</si>
  <si>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</si>
  <si>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</si>
  <si>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</si>
  <si>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</si>
  <si>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</si>
  <si>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</si>
  <si>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</si>
  <si>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</si>
  <si>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</si>
  <si>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</si>
  <si>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</si>
  <si>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</si>
  <si>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</si>
  <si>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</si>
  <si>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</si>
  <si>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</si>
  <si>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</si>
  <si>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</si>
  <si>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</si>
  <si>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</si>
  <si>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</si>
  <si>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</si>
  <si>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</si>
  <si>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</si>
  <si>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</si>
  <si>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</si>
  <si>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</si>
  <si>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</si>
  <si>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</si>
  <si>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</si>
  <si>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</si>
  <si>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</si>
  <si>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</si>
  <si>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</si>
  <si>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</si>
  <si>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</si>
  <si>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</si>
  <si>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</si>
  <si>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</si>
  <si>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</si>
  <si>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</si>
  <si>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</si>
  <si>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</si>
  <si>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</si>
  <si>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</si>
  <si>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</si>
  <si>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</si>
  <si>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</si>
  <si>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</si>
  <si>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</si>
  <si>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</si>
  <si>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</si>
  <si>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</si>
  <si>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</si>
  <si>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</si>
  <si>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</si>
  <si>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</si>
  <si>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</si>
  <si>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</si>
  <si>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</si>
  <si>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</si>
  <si>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</si>
  <si>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</si>
  <si>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</si>
  <si>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</si>
  <si>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</si>
  <si>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</si>
  <si>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</si>
  <si>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</si>
  <si>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</si>
  <si>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</si>
  <si>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</si>
  <si>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</si>
  <si>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</si>
  <si>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</si>
  <si>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</si>
  <si>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</si>
  <si>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</si>
  <si>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</si>
  <si>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</si>
  <si>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</si>
  <si>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</si>
  <si>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</si>
  <si>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</si>
  <si>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</si>
  <si>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</si>
  <si>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</si>
  <si>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</si>
  <si>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</si>
  <si>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</si>
  <si>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</si>
  <si>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</si>
  <si>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</si>
  <si>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</si>
  <si>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</si>
  <si>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</si>
  <si>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</si>
  <si>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</si>
  <si>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</si>
  <si>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</si>
  <si>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</si>
  <si>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</si>
  <si>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</si>
  <si>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</si>
  <si>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</si>
  <si>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</si>
  <si>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</si>
  <si>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</si>
  <si>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</si>
  <si>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</si>
  <si>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</si>
  <si>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</si>
  <si>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</si>
  <si>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</si>
  <si>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</si>
  <si>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</si>
  <si>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</si>
  <si>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</si>
  <si>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</si>
  <si>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</si>
  <si>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</si>
  <si>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</si>
  <si>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</si>
  <si>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</si>
  <si>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</si>
  <si>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</si>
  <si>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</si>
  <si>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</si>
  <si>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</si>
  <si>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</si>
  <si>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</si>
  <si>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</si>
  <si>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</si>
  <si>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</si>
  <si>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</si>
  <si>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</si>
  <si>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</si>
  <si>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</si>
  <si>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</si>
  <si>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</si>
  <si>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</si>
  <si>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</si>
  <si>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</si>
  <si>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</si>
  <si>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</si>
  <si>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</si>
  <si>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</si>
  <si>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</si>
  <si>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</si>
  <si>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</si>
  <si>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</si>
  <si>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</si>
  <si>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</si>
  <si>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</si>
  <si>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</si>
  <si>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</si>
  <si>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</si>
  <si>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</si>
  <si>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</si>
  <si>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</si>
  <si>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</si>
  <si>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гр. София, бул. "Петко Каравелов" №34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</si>
  <si>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</si>
  <si>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</si>
  <si>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</si>
  <si>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</si>
  <si>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</si>
  <si>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</si>
  <si>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ТОДОРОВ - АГРО ЕООД</t>
  </si>
  <si>
    <t>www.investor.bg</t>
  </si>
  <si>
    <t>Ръководител, 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</si>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</sst>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43190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43220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Димитров Колев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>
        <v>43220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f>171</f>
        <v>171</v>
      </c>
      <c r="D12" s="138">
        <v>171</v>
      </c>
      <c r="E12" s="76" t="s">
        <v>25</v>
      </c>
      <c r="F12" s="80" t="s">
        <v>26</v>
      </c>
      <c r="G12" s="138">
        <f>3400</f>
        <v>3400</v>
      </c>
      <c r="H12" s="137">
        <v>3400</v>
      </c>
    </row>
    <row r="13" spans="1:8" ht="15.75">
      <c r="A13" s="76" t="s">
        <v>27</v>
      </c>
      <c r="B13" s="78" t="s">
        <v>28</v>
      </c>
      <c r="C13" s="138">
        <f>725</f>
        <v>725</v>
      </c>
      <c r="D13" s="138">
        <v>727</v>
      </c>
      <c r="E13" s="76" t="s">
        <v>553</v>
      </c>
      <c r="F13" s="80" t="s">
        <v>29</v>
      </c>
      <c r="G13" s="138">
        <f>3400</f>
        <v>3400</v>
      </c>
      <c r="H13" s="137">
        <v>3400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f>1</f>
        <v>1</v>
      </c>
      <c r="D16" s="138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14</f>
        <v>14</v>
      </c>
      <c r="D17" s="138">
        <v>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3400</v>
      </c>
      <c r="H18" s="389">
        <f>H12+H15+H16+H17</f>
        <v>3400</v>
      </c>
    </row>
    <row r="19" spans="1:8" ht="15.75">
      <c r="A19" s="76" t="s">
        <v>49</v>
      </c>
      <c r="B19" s="78" t="s">
        <v>50</v>
      </c>
      <c r="C19" s="138">
        <f>36</f>
        <v>36</v>
      </c>
      <c r="D19" s="138">
        <v>36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947</v>
      </c>
      <c r="D20" s="377">
        <f>SUM(D12:D19)</f>
        <v>950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185</v>
      </c>
      <c r="D21" s="268">
        <v>185</v>
      </c>
      <c r="E21" s="76" t="s">
        <v>58</v>
      </c>
      <c r="F21" s="80" t="s">
        <v>59</v>
      </c>
      <c r="G21" s="138">
        <f>210</f>
        <v>210</v>
      </c>
      <c r="H21" s="137">
        <v>210</v>
      </c>
    </row>
    <row r="22" spans="1:13" ht="15.75">
      <c r="A22" s="87" t="s">
        <v>60</v>
      </c>
      <c r="B22" s="84" t="s">
        <v>61</v>
      </c>
      <c r="C22" s="267">
        <v>173</v>
      </c>
      <c r="D22" s="268">
        <v>173</v>
      </c>
      <c r="E22" s="142" t="s">
        <v>62</v>
      </c>
      <c r="F22" s="80" t="s">
        <v>63</v>
      </c>
      <c r="G22" s="392">
        <f>SUM(G23:G25)</f>
        <v>498</v>
      </c>
      <c r="H22" s="393">
        <f>SUM(H23:H25)</f>
        <v>498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f>2</f>
        <v>2</v>
      </c>
      <c r="D24" s="138">
        <v>3</v>
      </c>
      <c r="E24" s="143" t="s">
        <v>69</v>
      </c>
      <c r="F24" s="80" t="s">
        <v>70</v>
      </c>
      <c r="G24" s="138">
        <f>498</f>
        <v>498</v>
      </c>
      <c r="H24" s="137">
        <v>498</v>
      </c>
      <c r="M24" s="85"/>
    </row>
    <row r="25" spans="1:8" ht="15.75">
      <c r="A25" s="76" t="s">
        <v>71</v>
      </c>
      <c r="B25" s="78" t="s">
        <v>72</v>
      </c>
      <c r="C25" s="138">
        <f>1</f>
        <v>1</v>
      </c>
      <c r="D25" s="138">
        <v>2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708</v>
      </c>
      <c r="H26" s="377">
        <f>H20+H21+H22</f>
        <v>708</v>
      </c>
      <c r="M26" s="85"/>
    </row>
    <row r="27" spans="1:8" ht="15.75">
      <c r="A27" s="76" t="s">
        <v>79</v>
      </c>
      <c r="B27" s="78" t="s">
        <v>80</v>
      </c>
      <c r="C27" s="138">
        <f>6</f>
        <v>6</v>
      </c>
      <c r="D27" s="138">
        <v>6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9</v>
      </c>
      <c r="D28" s="377">
        <f>SUM(D24:D27)</f>
        <v>11</v>
      </c>
      <c r="E28" s="143" t="s">
        <v>84</v>
      </c>
      <c r="F28" s="80" t="s">
        <v>85</v>
      </c>
      <c r="G28" s="374">
        <f>SUM(G29:G31)</f>
        <v>-3805</v>
      </c>
      <c r="H28" s="375">
        <f>SUM(H29:H31)</f>
        <v>-3364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650</f>
        <v>650</v>
      </c>
      <c r="H29" s="138">
        <v>650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-4455</f>
        <v>-4455</v>
      </c>
      <c r="H30" s="138">
        <v>-4014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-109</f>
        <v>-109</v>
      </c>
      <c r="H33" s="138">
        <v>-441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-3914</v>
      </c>
      <c r="H34" s="377">
        <f>H28+H32+H33</f>
        <v>-3805</v>
      </c>
    </row>
    <row r="35" spans="1:8" ht="15.75">
      <c r="A35" s="76" t="s">
        <v>106</v>
      </c>
      <c r="B35" s="81" t="s">
        <v>107</v>
      </c>
      <c r="C35" s="374">
        <f>SUM(C36:C39)</f>
        <v>1127</v>
      </c>
      <c r="D35" s="375">
        <f>SUM(D36:D39)</f>
        <v>1127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1127</v>
      </c>
      <c r="D36" s="137">
        <v>1127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194</v>
      </c>
      <c r="H37" s="379">
        <f>H26+H18+H34</f>
        <v>303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1127</v>
      </c>
      <c r="D46" s="377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</v>
      </c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</v>
      </c>
      <c r="H50" s="375">
        <f>SUM(H44:H49)</f>
        <v>11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f>181</f>
        <v>181</v>
      </c>
      <c r="D55" s="269">
        <v>181</v>
      </c>
      <c r="E55" s="76" t="s">
        <v>168</v>
      </c>
      <c r="F55" s="82" t="s">
        <v>169</v>
      </c>
      <c r="G55" s="138">
        <f>112</f>
        <v>112</v>
      </c>
      <c r="H55" s="138">
        <v>112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2622</v>
      </c>
      <c r="D56" s="381">
        <f>D20+D21+D22+D28+D33+D46+D52+D54+D55</f>
        <v>2627</v>
      </c>
      <c r="E56" s="87" t="s">
        <v>557</v>
      </c>
      <c r="F56" s="86" t="s">
        <v>172</v>
      </c>
      <c r="G56" s="378">
        <f>G50+G52+G53+G54+G55</f>
        <v>123</v>
      </c>
      <c r="H56" s="379">
        <f>H50+H52+H53+H54+H55</f>
        <v>123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f>216</f>
        <v>216</v>
      </c>
      <c r="D59" s="138">
        <v>180</v>
      </c>
      <c r="E59" s="142" t="s">
        <v>180</v>
      </c>
      <c r="F59" s="277" t="s">
        <v>181</v>
      </c>
      <c r="G59" s="138">
        <f>416+237+161+90</f>
        <v>904</v>
      </c>
      <c r="H59" s="138">
        <v>888</v>
      </c>
    </row>
    <row r="60" spans="1:13" ht="15.75">
      <c r="A60" s="76" t="s">
        <v>178</v>
      </c>
      <c r="B60" s="78" t="s">
        <v>179</v>
      </c>
      <c r="C60" s="138">
        <f>104</f>
        <v>104</v>
      </c>
      <c r="D60" s="138">
        <v>110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f>77</f>
        <v>77</v>
      </c>
      <c r="D61" s="138">
        <v>76</v>
      </c>
      <c r="E61" s="141" t="s">
        <v>188</v>
      </c>
      <c r="F61" s="80" t="s">
        <v>189</v>
      </c>
      <c r="G61" s="374">
        <f>SUM(G62:G68)</f>
        <v>2867</v>
      </c>
      <c r="H61" s="375">
        <f>SUM(H62:H68)</f>
        <v>2783</v>
      </c>
    </row>
    <row r="62" spans="1:13" ht="15.75">
      <c r="A62" s="76" t="s">
        <v>186</v>
      </c>
      <c r="B62" s="81" t="s">
        <v>187</v>
      </c>
      <c r="C62" s="138">
        <f>386</f>
        <v>386</v>
      </c>
      <c r="D62" s="138">
        <v>469</v>
      </c>
      <c r="E62" s="141" t="s">
        <v>192</v>
      </c>
      <c r="F62" s="80" t="s">
        <v>193</v>
      </c>
      <c r="G62" s="138">
        <f>307+368+36</f>
        <v>711</v>
      </c>
      <c r="H62" s="138">
        <v>695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f>200+7+10+2+100+41+411+62</f>
        <v>833</v>
      </c>
      <c r="H63" s="138">
        <v>833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798-26+8+18</f>
        <v>798</v>
      </c>
      <c r="H64" s="138">
        <v>778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783</v>
      </c>
      <c r="D65" s="377">
        <f>SUM(D59:D64)</f>
        <v>835</v>
      </c>
      <c r="E65" s="76" t="s">
        <v>201</v>
      </c>
      <c r="F65" s="80" t="s">
        <v>202</v>
      </c>
      <c r="G65" s="138">
        <f>238-36</f>
        <v>202</v>
      </c>
      <c r="H65" s="138">
        <v>145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30</f>
        <v>30</v>
      </c>
      <c r="H66" s="138">
        <v>32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f>49+13+22+9+13+4</f>
        <v>110</v>
      </c>
      <c r="H67" s="138">
        <v>117</v>
      </c>
    </row>
    <row r="68" spans="1:8" ht="15.75">
      <c r="A68" s="76" t="s">
        <v>206</v>
      </c>
      <c r="B68" s="78" t="s">
        <v>207</v>
      </c>
      <c r="C68" s="138">
        <f>544-227+3+205</f>
        <v>525</v>
      </c>
      <c r="D68" s="138">
        <v>467</v>
      </c>
      <c r="E68" s="76" t="s">
        <v>212</v>
      </c>
      <c r="F68" s="80" t="s">
        <v>213</v>
      </c>
      <c r="G68" s="138">
        <f>49+17+52+16+42+7</f>
        <v>183</v>
      </c>
      <c r="H68" s="138">
        <v>183</v>
      </c>
    </row>
    <row r="69" spans="1:8" ht="15.75">
      <c r="A69" s="76" t="s">
        <v>210</v>
      </c>
      <c r="B69" s="78" t="s">
        <v>211</v>
      </c>
      <c r="C69" s="138">
        <f>86-7-3+8+1+3+5</f>
        <v>93</v>
      </c>
      <c r="D69" s="138">
        <v>134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f>29</f>
        <v>29</v>
      </c>
      <c r="D70" s="138">
        <v>29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3771</v>
      </c>
      <c r="H71" s="377">
        <f>H59+H60+H61+H69+H70</f>
        <v>3671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647</v>
      </c>
      <c r="D76" s="377">
        <f>SUM(D68:D75)</f>
        <v>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2</v>
      </c>
      <c r="H77" s="270">
        <v>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3773</v>
      </c>
      <c r="H79" s="379">
        <f>H71+H73+H75+H77</f>
        <v>3673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f>2</f>
        <v>2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32</f>
        <v>32</v>
      </c>
      <c r="D89" s="138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34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4</f>
        <v>4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1468</v>
      </c>
      <c r="D94" s="381">
        <f>D65+D76+D85+D92+D93</f>
        <v>1472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4090</v>
      </c>
      <c r="D95" s="383">
        <f>D94+D56</f>
        <v>4099</v>
      </c>
      <c r="E95" s="169" t="s">
        <v>635</v>
      </c>
      <c r="F95" s="280" t="s">
        <v>268</v>
      </c>
      <c r="G95" s="382">
        <f>G37+G40+G56+G79</f>
        <v>4090</v>
      </c>
      <c r="H95" s="383">
        <f>H37+H40+H56+H79</f>
        <v>4099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43220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Димитров Колев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49</f>
        <v>49</v>
      </c>
      <c r="D12" s="256">
        <v>51</v>
      </c>
      <c r="E12" s="135" t="s">
        <v>277</v>
      </c>
      <c r="F12" s="180" t="s">
        <v>278</v>
      </c>
      <c r="G12" s="256">
        <f>202</f>
        <v>202</v>
      </c>
      <c r="H12" s="256">
        <v>248</v>
      </c>
    </row>
    <row r="13" spans="1:8" ht="15.75">
      <c r="A13" s="135" t="s">
        <v>279</v>
      </c>
      <c r="B13" s="131" t="s">
        <v>280</v>
      </c>
      <c r="C13" s="256">
        <f>53</f>
        <v>53</v>
      </c>
      <c r="D13" s="256">
        <v>59</v>
      </c>
      <c r="E13" s="135" t="s">
        <v>281</v>
      </c>
      <c r="F13" s="180" t="s">
        <v>282</v>
      </c>
      <c r="G13" s="256">
        <f>6</f>
        <v>6</v>
      </c>
      <c r="H13" s="256">
        <v>5</v>
      </c>
    </row>
    <row r="14" spans="1:8" ht="15.75">
      <c r="A14" s="135" t="s">
        <v>283</v>
      </c>
      <c r="B14" s="131" t="s">
        <v>284</v>
      </c>
      <c r="C14" s="256">
        <f>5</f>
        <v>5</v>
      </c>
      <c r="D14" s="256">
        <v>5</v>
      </c>
      <c r="E14" s="185" t="s">
        <v>285</v>
      </c>
      <c r="F14" s="180" t="s">
        <v>286</v>
      </c>
      <c r="G14" s="256">
        <f>1</f>
        <v>1</v>
      </c>
      <c r="H14" s="256"/>
    </row>
    <row r="15" spans="1:8" ht="15.75">
      <c r="A15" s="135" t="s">
        <v>287</v>
      </c>
      <c r="B15" s="131" t="s">
        <v>288</v>
      </c>
      <c r="C15" s="256">
        <f>108</f>
        <v>108</v>
      </c>
      <c r="D15" s="256">
        <v>113</v>
      </c>
      <c r="E15" s="185" t="s">
        <v>79</v>
      </c>
      <c r="F15" s="180" t="s">
        <v>289</v>
      </c>
      <c r="G15" s="256">
        <f>22</f>
        <v>22</v>
      </c>
      <c r="H15" s="256">
        <v>3</v>
      </c>
    </row>
    <row r="16" spans="1:8" ht="15.75">
      <c r="A16" s="135" t="s">
        <v>290</v>
      </c>
      <c r="B16" s="131" t="s">
        <v>291</v>
      </c>
      <c r="C16" s="256">
        <f>14</f>
        <v>14</v>
      </c>
      <c r="D16" s="256">
        <v>15</v>
      </c>
      <c r="E16" s="176" t="s">
        <v>52</v>
      </c>
      <c r="F16" s="204" t="s">
        <v>292</v>
      </c>
      <c r="G16" s="407">
        <f>SUM(G12:G15)</f>
        <v>231</v>
      </c>
      <c r="H16" s="408">
        <f>SUM(H12:H15)</f>
        <v>256</v>
      </c>
    </row>
    <row r="17" spans="1:8" ht="31.5">
      <c r="A17" s="135" t="s">
        <v>293</v>
      </c>
      <c r="B17" s="131" t="s">
        <v>294</v>
      </c>
      <c r="C17" s="256">
        <f>6</f>
        <v>6</v>
      </c>
      <c r="D17" s="256">
        <v>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87</f>
        <v>87</v>
      </c>
      <c r="D18" s="256">
        <v>83</v>
      </c>
      <c r="E18" s="174" t="s">
        <v>297</v>
      </c>
      <c r="F18" s="178" t="s">
        <v>298</v>
      </c>
      <c r="G18" s="418">
        <f>1</f>
        <v>1</v>
      </c>
      <c r="H18" s="419">
        <v>1</v>
      </c>
    </row>
    <row r="19" spans="1:8" ht="15.75">
      <c r="A19" s="135" t="s">
        <v>299</v>
      </c>
      <c r="B19" s="131" t="s">
        <v>300</v>
      </c>
      <c r="C19" s="256">
        <f>3</f>
        <v>3</v>
      </c>
      <c r="D19" s="256">
        <v>9</v>
      </c>
      <c r="E19" s="135" t="s">
        <v>301</v>
      </c>
      <c r="F19" s="177" t="s">
        <v>302</v>
      </c>
      <c r="G19" s="256">
        <f>1</f>
        <v>1</v>
      </c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325</v>
      </c>
      <c r="D22" s="408">
        <f>SUM(D12:D18)+D19</f>
        <v>339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16</f>
        <v>16</v>
      </c>
      <c r="D25" s="256">
        <v>26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16</v>
      </c>
      <c r="D29" s="408">
        <f>SUM(D25:D28)</f>
        <v>26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341</v>
      </c>
      <c r="D31" s="414">
        <f>D29+D22</f>
        <v>365</v>
      </c>
      <c r="E31" s="191" t="s">
        <v>548</v>
      </c>
      <c r="F31" s="206" t="s">
        <v>331</v>
      </c>
      <c r="G31" s="193">
        <f>G16+G18+G27</f>
        <v>232</v>
      </c>
      <c r="H31" s="194">
        <f>H16+H18+H27</f>
        <v>257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109</v>
      </c>
      <c r="H33" s="408">
        <f>IF((D31-H31)&gt;0,D31-H31,0)</f>
        <v>108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341</v>
      </c>
      <c r="D36" s="416">
        <f>D31-D34+D35</f>
        <v>365</v>
      </c>
      <c r="E36" s="202" t="s">
        <v>346</v>
      </c>
      <c r="F36" s="196" t="s">
        <v>347</v>
      </c>
      <c r="G36" s="207">
        <f>G35-G34+G31</f>
        <v>232</v>
      </c>
      <c r="H36" s="208">
        <f>H35-H34+H31</f>
        <v>257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109</v>
      </c>
      <c r="H37" s="194">
        <f>IF((D36-H36)&gt;0,D36-H36,0)</f>
        <v>108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109</v>
      </c>
      <c r="H42" s="184">
        <f>IF(H37&gt;0,IF(D38+H37&lt;0,0,D38+H37),IF(D37-D38&lt;0,D38-D37,0))</f>
        <v>108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109</v>
      </c>
      <c r="H44" s="208">
        <f>IF(D42=0,IF(H42-H43&gt;0,H42-H43+D43,0),IF(D42-D43&lt;0,D43-D42+H43,0))</f>
        <v>108</v>
      </c>
    </row>
    <row r="45" spans="1:8" ht="16.5" thickBot="1">
      <c r="A45" s="210" t="s">
        <v>371</v>
      </c>
      <c r="B45" s="211" t="s">
        <v>372</v>
      </c>
      <c r="C45" s="409">
        <f>C36+C38+C42</f>
        <v>341</v>
      </c>
      <c r="D45" s="410">
        <f>D36+D38+D42</f>
        <v>365</v>
      </c>
      <c r="E45" s="210" t="s">
        <v>373</v>
      </c>
      <c r="F45" s="212" t="s">
        <v>374</v>
      </c>
      <c r="G45" s="409">
        <f>G42+G36</f>
        <v>341</v>
      </c>
      <c r="H45" s="410">
        <f>H42+H36</f>
        <v>365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43220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Димитров Колев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310</f>
        <v>310</v>
      </c>
      <c r="D11" s="138">
        <v>355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-198</f>
        <v>-198</v>
      </c>
      <c r="D12" s="138">
        <v>-219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-72</f>
        <v>-72</v>
      </c>
      <c r="D14" s="138">
        <v>-124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-10</f>
        <v>-10</v>
      </c>
      <c r="D15" s="138">
        <v>-24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8">
        <v>-6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29</v>
      </c>
      <c r="D21" s="438">
        <f>SUM(D11:D20)</f>
        <v>-18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29</v>
      </c>
      <c r="D44" s="247">
        <f>D43+D33+D21</f>
        <v>-18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5</f>
        <v>5</v>
      </c>
      <c r="D45" s="249">
        <v>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34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34</f>
        <v>34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43220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Димитров Колев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3400</v>
      </c>
      <c r="D13" s="363">
        <f>'1-Баланс'!H20</f>
        <v>0</v>
      </c>
      <c r="E13" s="363">
        <f>'1-Баланс'!H21</f>
        <v>210</v>
      </c>
      <c r="F13" s="363">
        <f>'1-Баланс'!H23</f>
        <v>0</v>
      </c>
      <c r="G13" s="363">
        <f>'1-Баланс'!H24</f>
        <v>498</v>
      </c>
      <c r="H13" s="364"/>
      <c r="I13" s="363">
        <f>'1-Баланс'!H29+'1-Баланс'!H32</f>
        <v>650</v>
      </c>
      <c r="J13" s="363">
        <f>'1-Баланс'!H30+'1-Баланс'!H33</f>
        <v>-4455</v>
      </c>
      <c r="K13" s="364"/>
      <c r="L13" s="363">
        <f>SUM(C13:K13)</f>
        <v>303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3400</v>
      </c>
      <c r="D17" s="432">
        <f aca="true" t="shared" si="2" ref="D17:M17">D13+D14</f>
        <v>0</v>
      </c>
      <c r="E17" s="432">
        <f t="shared" si="2"/>
        <v>210</v>
      </c>
      <c r="F17" s="432">
        <f t="shared" si="2"/>
        <v>0</v>
      </c>
      <c r="G17" s="432">
        <f t="shared" si="2"/>
        <v>498</v>
      </c>
      <c r="H17" s="432">
        <f t="shared" si="2"/>
        <v>0</v>
      </c>
      <c r="I17" s="432">
        <f t="shared" si="2"/>
        <v>650</v>
      </c>
      <c r="J17" s="432">
        <f t="shared" si="2"/>
        <v>-4455</v>
      </c>
      <c r="K17" s="432">
        <f t="shared" si="2"/>
        <v>0</v>
      </c>
      <c r="L17" s="363">
        <f t="shared" si="1"/>
        <v>303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-109</v>
      </c>
      <c r="K18" s="364"/>
      <c r="L18" s="363">
        <f t="shared" si="1"/>
        <v>-109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3400</v>
      </c>
      <c r="D31" s="432">
        <f aca="true" t="shared" si="6" ref="D31:M31">D19+D22+D23+D26+D30+D29+D17+D18</f>
        <v>0</v>
      </c>
      <c r="E31" s="432">
        <f t="shared" si="6"/>
        <v>210</v>
      </c>
      <c r="F31" s="432">
        <f t="shared" si="6"/>
        <v>0</v>
      </c>
      <c r="G31" s="432">
        <f t="shared" si="6"/>
        <v>498</v>
      </c>
      <c r="H31" s="432">
        <f t="shared" si="6"/>
        <v>0</v>
      </c>
      <c r="I31" s="432">
        <f t="shared" si="6"/>
        <v>650</v>
      </c>
      <c r="J31" s="432">
        <f t="shared" si="6"/>
        <v>-4564</v>
      </c>
      <c r="K31" s="432">
        <f t="shared" si="6"/>
        <v>0</v>
      </c>
      <c r="L31" s="363">
        <f t="shared" si="1"/>
        <v>194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3400</v>
      </c>
      <c r="D34" s="366">
        <f t="shared" si="7"/>
        <v>0</v>
      </c>
      <c r="E34" s="366">
        <f t="shared" si="7"/>
        <v>210</v>
      </c>
      <c r="F34" s="366">
        <f t="shared" si="7"/>
        <v>0</v>
      </c>
      <c r="G34" s="366">
        <f t="shared" si="7"/>
        <v>498</v>
      </c>
      <c r="H34" s="366">
        <f t="shared" si="7"/>
        <v>0</v>
      </c>
      <c r="I34" s="366">
        <f t="shared" si="7"/>
        <v>650</v>
      </c>
      <c r="J34" s="366">
        <f t="shared" si="7"/>
        <v>-4564</v>
      </c>
      <c r="K34" s="366">
        <f t="shared" si="7"/>
        <v>0</v>
      </c>
      <c r="L34" s="430">
        <f t="shared" si="1"/>
        <v>194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43220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Димитров Колев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43220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Димитров Колев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ТОДОРОВ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4090</v>
      </c>
      <c r="D6" s="454">
        <f aca="true" t="shared" si="0" ref="D6:D15">C6-E6</f>
        <v>0</v>
      </c>
      <c r="E6" s="453">
        <f>'1-Баланс'!G95</f>
        <v>4090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194</v>
      </c>
      <c r="D7" s="454">
        <f t="shared" si="0"/>
        <v>-3206</v>
      </c>
      <c r="E7" s="453">
        <f>'1-Баланс'!G18</f>
        <v>3400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-109</v>
      </c>
      <c r="D8" s="454">
        <f t="shared" si="0"/>
        <v>0</v>
      </c>
      <c r="E8" s="453">
        <f>ABS('2-Отчет за доходите'!C44)-ABS('2-Отчет за доходите'!G44)</f>
        <v>-109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5</v>
      </c>
      <c r="D9" s="454">
        <f t="shared" si="0"/>
        <v>0</v>
      </c>
      <c r="E9" s="453">
        <f>'3-Отчет за паричния поток'!C45</f>
        <v>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34</v>
      </c>
      <c r="D10" s="454">
        <f t="shared" si="0"/>
        <v>0</v>
      </c>
      <c r="E10" s="453">
        <f>'3-Отчет за паричния поток'!C46</f>
        <v>34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194</v>
      </c>
      <c r="D11" s="454">
        <f t="shared" si="0"/>
        <v>0</v>
      </c>
      <c r="E11" s="453">
        <f>'4-Отчет за собствения капитал'!L34</f>
        <v>194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1127</v>
      </c>
      <c r="D12" s="454">
        <f t="shared" si="0"/>
        <v>0</v>
      </c>
      <c r="E12" s="453">
        <f>'Справка 5'!C27+'Справка 5'!C97</f>
        <v>1127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-0.47186147186147187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-0.5618556701030928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-0.02797741273100616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-0.02665036674816626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0.6803519061583577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0.38908030744765437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0.18049297641134376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0.009011396766498807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0.009011396766498807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0.11015736766809728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0.05647921760391198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0.38801261829652994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20.082474226804123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0.9525672371638143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0.08247422680412371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0.09051724137931035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185.52380952380952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725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947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185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173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6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181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2622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216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104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77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386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783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525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93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29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647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32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34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1468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4090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210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708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-3805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650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-4455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-109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-3914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194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112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123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904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2867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711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833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798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202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110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183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3771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3773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4090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49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108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87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325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16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341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341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341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202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6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231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232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109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232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109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109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109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341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310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-198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-72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29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29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34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34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210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210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210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210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650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650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650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650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-4455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-4455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-109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-4564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-4564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303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303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-109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194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194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2018-04-29T11:54:21Z</cp:lastPrinted>
  <dcterms:created xsi:type="dcterms:W3CDTF">2006-09-16T00:00:00Z</dcterms:created>
  <dcterms:modified xsi:type="dcterms:W3CDTF">2018-04-30T08:52:24Z</dcterms:modified>
  <cp:category/>
  <cp:version/>
  <cp:contentType/>
  <cp:contentStatus/>
</cp:coreProperties>
</file>