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3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1-КИС-БАЛАНС'!$A$1:$G$49</definedName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<sst xmlns="http://schemas.openxmlformats.org/spreadsheetml/2006/main" count="224" uniqueCount="194">
  <si>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</si>
  <si>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</si>
  <si>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</si>
  <si>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</si>
  <si>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</si>
  <si>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</si>
  <si>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</si>
  <si>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</si>
  <si>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</si>
  <si>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</si>
  <si>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</si>
  <si>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</si>
  <si>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</si>
  <si>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</si>
  <si>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</si>
  <si>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</si>
  <si>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</si>
  <si>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</si>
  <si>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</si>
  <si>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</si>
  <si>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</si>
  <si>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</si>
  <si>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</si>
  <si>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</si>
  <si>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</si>
  <si>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</si>
  <si>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</si>
  <si>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</si>
  <si>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</si>
  <si>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</si>
  <si>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</si>
  <si>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</si>
  <si>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</si>
  <si>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</si>
  <si>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</si>
  <si>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</si>
  <si>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</si>
  <si>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</si>
  <si>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</si>
  <si>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</si>
  <si>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</si>
  <si>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</si>
  <si>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</si>
  <si>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</si>
  <si>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</si>
  <si>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</si>
  <si>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</si>
  <si>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</si>
  <si>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</si>
  <si>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</si>
  <si>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</si>
  <si>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</si>
  <si>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</si>
  <si>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</si>
  <si>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</si>
  <si>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</si>
  <si>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</si>
  <si>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</si>
  <si>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</si>
  <si>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</si>
  <si>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</si>
  <si>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</si>
  <si>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</si>
  <si>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</si>
  <si>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</si>
  <si>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</si>
  <si>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</si>
  <si>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</si>
  <si>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</si>
  <si>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</si>
  <si>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</si>
  <si>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</si>
  <si>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</si>
  <si>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</si>
  <si>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</si>
  <si>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</si>
  <si>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</si>
  <si>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</si>
  <si>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</si>
  <si>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</si>
  <si>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</si>
  <si>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</si>
  <si>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</si>
  <si>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</si>
  <si>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</si>
  <si>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</si>
  <si>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</si>
  <si>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</si>
  <si>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</si>
  <si>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</si>
  <si>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</si>
  <si>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</si>
  <si>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</si>
  <si>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</si>
  <si>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</si>
  <si>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</si>
  <si>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</si>
  <si>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</si>
  <si>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</si>
  <si>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</si>
  <si>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</si>
  <si>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</si>
  <si>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</si>
  <si>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</si>
  <si>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</si>
  <si>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</si>
  <si>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</si>
  <si>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</si>
  <si>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</si>
  <si>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</si>
  <si>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</si>
  <si>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</si>
  <si>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</si>
  <si>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</si>
  <si>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</si>
  <si>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</si>
  <si>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</si>
  <si>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</si>
  <si>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</si>
  <si>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</si>
  <si>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</si>
  <si>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</si>
  <si>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</si>
  <si>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</si>
  <si>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</si>
  <si>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</si>
  <si>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</si>
  <si>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</si>
  <si>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</si>
  <si>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</si>
  <si>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</si>
  <si>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</si>
  <si>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</si>
  <si>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</si>
  <si>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</si>
  <si>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</si>
  <si>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</si>
  <si>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</si>
  <si>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</si>
  <si>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</si>
  <si>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</si>
  <si>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</si>
  <si>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</si>
  <si>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</si>
  <si>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</si>
  <si>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</si>
  <si>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</si>
  <si>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</si>
  <si>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</si>
  <si>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</si>
  <si>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</si>
  <si>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</si>
  <si>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</si>
  <si>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</si>
  <si>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</si>
  <si>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</si>
  <si>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</si>
  <si>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</si>
  <si>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</si>
  <si>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</si>
  <si>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</si>
  <si>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</si>
  <si>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</si>
  <si>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</si>
  <si>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</si>
  <si>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</si>
  <si>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</si>
  <si>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</si>
  <si>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</si>
  <si>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</si>
  <si>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</si>
  <si>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</si>
  <si>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</si>
  <si>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</si>
  <si>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</si>
  <si>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</si>
  <si>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</si>
  <si>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</si>
  <si>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</si>
  <si>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</si>
  <si>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</si>
  <si>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/Eлеонора Стоева/</t>
  </si>
  <si>
    <t xml:space="preserve">  Съставител:………………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</si>
  <si>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</si>
  <si>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</si>
  <si>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</si>
  <si>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</si>
  <si>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</si>
  <si>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</si>
  <si>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ИД:ТИ БИ АЙ ЕВРОБОНД АД</t>
    </r>
  </si>
  <si>
    <t>ЕИК по БУЛСТАТ: 131116580</t>
  </si>
  <si>
    <t>/Радослав Гергов/</t>
  </si>
  <si>
    <t>Отчетен период: 30.06.2009г.</t>
  </si>
  <si>
    <t>Дата:22.07.2009г.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</si>
</sst>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_-* #,##0.0\ _л_в_-;\-* #,##0.0\ _л_в_-;_-* &quot;-&quot;?\ _л_в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0" xfId="21" applyNumberFormat="1" applyFont="1" applyFill="1" applyAlignment="1" applyProtection="1">
      <alignment vertical="top" wrapText="1"/>
      <protection locked="0"/>
    </xf>
    <xf numFmtId="3" fontId="2" fillId="0" borderId="0" xfId="21" applyNumberFormat="1" applyFont="1" applyFill="1" applyBorder="1" applyAlignment="1" applyProtection="1">
      <alignment vertical="top" wrapText="1"/>
      <protection locked="0"/>
    </xf>
    <xf numFmtId="3" fontId="2" fillId="0" borderId="0" xfId="2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1" applyNumberFormat="1" applyFont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22" applyNumberFormat="1" applyFont="1" applyAlignment="1" applyProtection="1">
      <alignment horizontal="right" vertical="center" wrapText="1"/>
      <protection locked="0"/>
    </xf>
    <xf numFmtId="3" fontId="3" fillId="0" borderId="0" xfId="21" applyNumberFormat="1" applyFont="1" applyAlignment="1" applyProtection="1">
      <alignment horizontal="right" vertical="center" wrapText="1"/>
      <protection locked="0"/>
    </xf>
    <xf numFmtId="3" fontId="2" fillId="0" borderId="0" xfId="23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 wrapText="1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0" fontId="3" fillId="0" borderId="0" xfId="21" applyFont="1" applyAlignment="1" applyProtection="1">
      <alignment vertical="center" wrapText="1"/>
      <protection locked="0"/>
    </xf>
    <xf numFmtId="3" fontId="8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172" fontId="13" fillId="0" borderId="2" xfId="0" applyNumberFormat="1" applyFont="1" applyFill="1" applyBorder="1" applyAlignment="1" applyProtection="1">
      <alignment/>
      <protection hidden="1"/>
    </xf>
    <xf numFmtId="172" fontId="13" fillId="0" borderId="2" xfId="0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169" fontId="14" fillId="3" borderId="2" xfId="0" applyNumberFormat="1" applyFont="1" applyFill="1" applyBorder="1" applyAlignment="1">
      <alignment horizontal="right" vertical="center" wrapText="1"/>
    </xf>
    <xf numFmtId="1" fontId="14" fillId="3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13" fillId="0" borderId="2" xfId="0" applyNumberFormat="1" applyFont="1" applyFill="1" applyBorder="1" applyAlignment="1" applyProtection="1">
      <alignment horizontal="right"/>
      <protection hidden="1"/>
    </xf>
    <xf numFmtId="3" fontId="13" fillId="0" borderId="2" xfId="0" applyNumberFormat="1" applyFont="1" applyFill="1" applyBorder="1" applyAlignment="1" applyProtection="1">
      <alignment/>
      <protection hidden="1"/>
    </xf>
    <xf numFmtId="0" fontId="2" fillId="0" borderId="4" xfId="24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justify"/>
      <protection locked="0"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7" xfId="2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top"/>
      <protection locked="0"/>
    </xf>
    <xf numFmtId="0" fontId="2" fillId="0" borderId="0" xfId="24" applyFont="1" applyFill="1" applyAlignment="1">
      <alignment horizontal="center" vertical="justify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3" fontId="2" fillId="0" borderId="9" xfId="24" applyNumberFormat="1" applyFont="1" applyFill="1" applyBorder="1" applyAlignment="1">
      <alignment horizontal="center" vertical="center" wrapText="1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3" fontId="2" fillId="0" borderId="7" xfId="24" applyNumberFormat="1" applyFont="1" applyFill="1" applyBorder="1" applyAlignment="1">
      <alignment horizontal="center" vertical="justify" wrapText="1"/>
      <protection/>
    </xf>
    <xf numFmtId="3" fontId="2" fillId="0" borderId="5" xfId="24" applyNumberFormat="1" applyFont="1" applyFill="1" applyBorder="1" applyAlignment="1">
      <alignment horizontal="center" vertical="justify" wrapText="1"/>
      <protection/>
    </xf>
    <xf numFmtId="3" fontId="3" fillId="0" borderId="4" xfId="0" applyNumberFormat="1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workbookViewId="0" topLeftCell="A10">
      <selection activeCell="C38" sqref="C38"/>
    </sheetView>
  </sheetViews>
  <sheetFormatPr defaultColWidth="9.140625" defaultRowHeight="12.75"/>
  <cols>
    <col min="1" max="1" width="35.7109375" style="3" customWidth="1"/>
    <col min="2" max="3" width="9.7109375" style="79" customWidth="1"/>
    <col min="4" max="4" width="36.7109375" style="3" customWidth="1"/>
    <col min="5" max="6" width="9.7109375" style="79" customWidth="1"/>
    <col min="7" max="7" width="5.7109375" style="3" customWidth="1"/>
    <col min="8" max="16384" width="9.140625" style="3" customWidth="1"/>
  </cols>
  <sheetData>
    <row r="1" spans="5:6" ht="12" customHeight="1">
      <c r="E1" s="136" t="s">
        <v>155</v>
      </c>
      <c r="F1" s="136"/>
    </row>
    <row r="2" spans="1:6" ht="12" customHeight="1">
      <c r="A2" s="14"/>
      <c r="B2" s="80"/>
      <c r="C2" s="137" t="s">
        <v>0</v>
      </c>
      <c r="D2" s="137"/>
      <c r="E2" s="86"/>
      <c r="F2" s="86"/>
    </row>
    <row r="3" spans="1:6" ht="15" customHeight="1">
      <c r="A3" s="137" t="s">
        <v>189</v>
      </c>
      <c r="B3" s="137"/>
      <c r="C3" s="137"/>
      <c r="D3" s="96" t="s">
        <v>190</v>
      </c>
      <c r="E3" s="96"/>
      <c r="F3" s="96"/>
    </row>
    <row r="4" spans="1:6" ht="12">
      <c r="A4" s="15" t="s">
        <v>192</v>
      </c>
      <c r="B4" s="81"/>
      <c r="C4" s="85"/>
      <c r="D4" s="16"/>
      <c r="E4" s="86"/>
      <c r="F4" s="87" t="s">
        <v>82</v>
      </c>
    </row>
    <row r="5" spans="1:6" ht="12">
      <c r="A5" s="15"/>
      <c r="B5" s="81"/>
      <c r="C5" s="85"/>
      <c r="D5" s="16"/>
      <c r="E5" s="86"/>
      <c r="F5" s="87"/>
    </row>
    <row r="6" spans="1:6" ht="50.25" customHeight="1">
      <c r="A6" s="17" t="s">
        <v>1</v>
      </c>
      <c r="B6" s="29" t="s">
        <v>2</v>
      </c>
      <c r="C6" s="29" t="s">
        <v>3</v>
      </c>
      <c r="D6" s="18" t="s">
        <v>7</v>
      </c>
      <c r="E6" s="29" t="s">
        <v>4</v>
      </c>
      <c r="F6" s="29" t="s">
        <v>5</v>
      </c>
    </row>
    <row r="7" spans="1:6" ht="12">
      <c r="A7" s="17" t="s">
        <v>6</v>
      </c>
      <c r="B7" s="29">
        <v>1</v>
      </c>
      <c r="C7" s="29">
        <v>2</v>
      </c>
      <c r="D7" s="18" t="s">
        <v>6</v>
      </c>
      <c r="E7" s="29">
        <v>1</v>
      </c>
      <c r="F7" s="29">
        <v>2</v>
      </c>
    </row>
    <row r="8" spans="1:6" ht="12">
      <c r="A8" s="19" t="s">
        <v>8</v>
      </c>
      <c r="B8" s="30"/>
      <c r="C8" s="30"/>
      <c r="D8" s="11" t="s">
        <v>28</v>
      </c>
      <c r="E8" s="30"/>
      <c r="F8" s="30"/>
    </row>
    <row r="9" spans="1:30" ht="12" customHeight="1">
      <c r="A9" s="13" t="s">
        <v>29</v>
      </c>
      <c r="B9" s="119"/>
      <c r="C9" s="119"/>
      <c r="D9" s="13" t="s">
        <v>30</v>
      </c>
      <c r="E9" s="119">
        <v>4378400</v>
      </c>
      <c r="F9" s="119">
        <v>7761600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">
      <c r="A10" s="12" t="s">
        <v>149</v>
      </c>
      <c r="B10" s="120">
        <f>SUM(B11:B12)</f>
        <v>0</v>
      </c>
      <c r="C10" s="120">
        <f>SUM(C11:C12)</f>
        <v>0</v>
      </c>
      <c r="D10" s="13" t="s">
        <v>31</v>
      </c>
      <c r="E10" s="119"/>
      <c r="F10" s="1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4">
      <c r="A11" s="12" t="s">
        <v>103</v>
      </c>
      <c r="B11" s="119"/>
      <c r="C11" s="119"/>
      <c r="D11" s="12" t="s">
        <v>148</v>
      </c>
      <c r="E11" s="119">
        <v>-2289186.98</v>
      </c>
      <c r="F11" s="119">
        <v>-599784.42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12" t="s">
        <v>112</v>
      </c>
      <c r="B12" s="119"/>
      <c r="C12" s="119"/>
      <c r="D12" s="12" t="s">
        <v>32</v>
      </c>
      <c r="E12" s="119"/>
      <c r="F12" s="11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12" t="s">
        <v>140</v>
      </c>
      <c r="B13" s="119"/>
      <c r="C13" s="119"/>
      <c r="D13" s="12" t="s">
        <v>119</v>
      </c>
      <c r="E13" s="119"/>
      <c r="F13" s="11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20" t="s">
        <v>12</v>
      </c>
      <c r="B14" s="120">
        <f>+B13+B10</f>
        <v>0</v>
      </c>
      <c r="C14" s="120">
        <f>+C13+C10</f>
        <v>0</v>
      </c>
      <c r="D14" s="20" t="s">
        <v>27</v>
      </c>
      <c r="E14" s="120">
        <f>SUM(E11:E13)</f>
        <v>-2289186.98</v>
      </c>
      <c r="F14" s="120">
        <f>SUM(F11:F13)</f>
        <v>-599784.42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13" t="s">
        <v>176</v>
      </c>
      <c r="B15" s="119"/>
      <c r="C15" s="119"/>
      <c r="D15" s="13" t="s">
        <v>33</v>
      </c>
      <c r="E15" s="119"/>
      <c r="F15" s="11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20" t="s">
        <v>39</v>
      </c>
      <c r="B16" s="120">
        <f>+B15+B14</f>
        <v>0</v>
      </c>
      <c r="C16" s="120">
        <f>+C15+C14</f>
        <v>0</v>
      </c>
      <c r="D16" s="12" t="s">
        <v>34</v>
      </c>
      <c r="E16" s="120">
        <f>SUM(E17:E18)</f>
        <v>4395407.37</v>
      </c>
      <c r="F16" s="120">
        <f>SUM(F17:F18)</f>
        <v>3730459.97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11" t="s">
        <v>41</v>
      </c>
      <c r="B17" s="119"/>
      <c r="C17" s="119"/>
      <c r="D17" s="12" t="s">
        <v>35</v>
      </c>
      <c r="E17" s="119">
        <f>+F20</f>
        <v>4395407.37</v>
      </c>
      <c r="F17" s="119">
        <v>3730459.97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11" t="s">
        <v>43</v>
      </c>
      <c r="B18" s="119"/>
      <c r="C18" s="119"/>
      <c r="D18" s="12" t="s">
        <v>36</v>
      </c>
      <c r="E18" s="119"/>
      <c r="F18" s="1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10" t="s">
        <v>9</v>
      </c>
      <c r="B19" s="119">
        <v>766.77</v>
      </c>
      <c r="C19" s="119">
        <v>77.07</v>
      </c>
      <c r="D19" s="10" t="s">
        <v>37</v>
      </c>
      <c r="E19" s="119">
        <v>176231.5</v>
      </c>
      <c r="F19" s="119">
        <v>664947.4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10" t="s">
        <v>10</v>
      </c>
      <c r="B20" s="119">
        <f>115161.52+8451.78</f>
        <v>123613.3</v>
      </c>
      <c r="C20" s="119">
        <f>56079.12+115959.79</f>
        <v>172038.91</v>
      </c>
      <c r="D20" s="20" t="s">
        <v>38</v>
      </c>
      <c r="E20" s="120">
        <f>+E19+E16</f>
        <v>4571638.87</v>
      </c>
      <c r="F20" s="120">
        <f>+F19+F16</f>
        <v>4395407.37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10" t="s">
        <v>177</v>
      </c>
      <c r="B21" s="119">
        <f>300000+1169284.82</f>
        <v>1469284.82</v>
      </c>
      <c r="C21" s="119">
        <v>2712758.83</v>
      </c>
      <c r="D21" s="21" t="s">
        <v>40</v>
      </c>
      <c r="E21" s="120">
        <f>+E14+E20+E9</f>
        <v>6660851.890000001</v>
      </c>
      <c r="F21" s="120">
        <f>+F14+F20+F9</f>
        <v>11557222.95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10" t="s">
        <v>139</v>
      </c>
      <c r="B22" s="119"/>
      <c r="C22" s="119"/>
      <c r="D22" s="22"/>
      <c r="E22" s="119"/>
      <c r="F22" s="11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21" t="s">
        <v>12</v>
      </c>
      <c r="B23" s="120">
        <f>SUM(B19:B22)</f>
        <v>1593664.8900000001</v>
      </c>
      <c r="C23" s="120">
        <f>SUM(C19:C22)</f>
        <v>2884874.81</v>
      </c>
      <c r="D23" s="10"/>
      <c r="E23" s="119"/>
      <c r="F23" s="1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11" t="s">
        <v>121</v>
      </c>
      <c r="B24" s="119"/>
      <c r="C24" s="119"/>
      <c r="D24" s="11" t="s">
        <v>42</v>
      </c>
      <c r="E24" s="119"/>
      <c r="F24" s="1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10" t="s">
        <v>149</v>
      </c>
      <c r="B25" s="120">
        <f>SUM(B26:B29)</f>
        <v>5020644.32</v>
      </c>
      <c r="C25" s="120">
        <f>SUM(C26:C29)</f>
        <v>8370720.689999999</v>
      </c>
      <c r="D25" s="23" t="s">
        <v>150</v>
      </c>
      <c r="E25" s="119"/>
      <c r="F25" s="1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4">
      <c r="A26" s="10" t="s">
        <v>103</v>
      </c>
      <c r="B26" s="119"/>
      <c r="C26" s="119"/>
      <c r="D26" s="12" t="s">
        <v>136</v>
      </c>
      <c r="E26" s="119">
        <f>SUM(E27:E29)</f>
        <v>7322.95</v>
      </c>
      <c r="F26" s="119">
        <f>SUM(F27:F29)</f>
        <v>12966.93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6" ht="12">
      <c r="A27" s="10" t="s">
        <v>117</v>
      </c>
      <c r="B27" s="30"/>
      <c r="C27" s="30"/>
      <c r="D27" s="12" t="s">
        <v>178</v>
      </c>
      <c r="E27" s="30">
        <v>180</v>
      </c>
      <c r="F27" s="30">
        <v>180</v>
      </c>
    </row>
    <row r="28" spans="1:6" ht="12">
      <c r="A28" s="10" t="s">
        <v>112</v>
      </c>
      <c r="B28" s="30">
        <f>50311.83+583.48+25075.02+4944673.99</f>
        <v>5020644.32</v>
      </c>
      <c r="C28" s="30">
        <f>25070.02+8224257.89+115189.02+589.92+5613.84</f>
        <v>8370720.689999999</v>
      </c>
      <c r="D28" s="12" t="s">
        <v>105</v>
      </c>
      <c r="E28" s="30">
        <v>7142.95</v>
      </c>
      <c r="F28" s="30">
        <v>12786.93</v>
      </c>
    </row>
    <row r="29" spans="1:6" ht="12">
      <c r="A29" s="10" t="s">
        <v>11</v>
      </c>
      <c r="B29" s="30"/>
      <c r="C29" s="30"/>
      <c r="D29" s="3" t="s">
        <v>116</v>
      </c>
      <c r="E29" s="30"/>
      <c r="F29" s="30"/>
    </row>
    <row r="30" spans="1:6" ht="12">
      <c r="A30" s="10" t="s">
        <v>141</v>
      </c>
      <c r="B30" s="30"/>
      <c r="C30" s="30"/>
      <c r="D30" s="23" t="s">
        <v>132</v>
      </c>
      <c r="E30" s="30">
        <f>480+720</f>
        <v>1200</v>
      </c>
      <c r="F30" s="30">
        <v>480</v>
      </c>
    </row>
    <row r="31" spans="1:6" ht="12">
      <c r="A31" s="10" t="s">
        <v>142</v>
      </c>
      <c r="B31" s="30"/>
      <c r="C31" s="30"/>
      <c r="D31" s="3" t="s">
        <v>151</v>
      </c>
      <c r="E31" s="30">
        <f>283.21+722.2</f>
        <v>1005.4100000000001</v>
      </c>
      <c r="F31" s="30"/>
    </row>
    <row r="32" spans="1:6" ht="12">
      <c r="A32" s="10" t="s">
        <v>143</v>
      </c>
      <c r="B32" s="30"/>
      <c r="C32" s="30"/>
      <c r="D32" s="23" t="s">
        <v>114</v>
      </c>
      <c r="E32" s="30">
        <f>79.87+375.72</f>
        <v>455.59000000000003</v>
      </c>
      <c r="F32" s="30"/>
    </row>
    <row r="33" spans="1:6" ht="12">
      <c r="A33" s="10" t="s">
        <v>144</v>
      </c>
      <c r="B33" s="30"/>
      <c r="C33" s="30"/>
      <c r="D33" s="23" t="s">
        <v>115</v>
      </c>
      <c r="E33" s="30">
        <v>107.45</v>
      </c>
      <c r="F33" s="30"/>
    </row>
    <row r="34" spans="1:6" ht="12">
      <c r="A34" s="10" t="s">
        <v>145</v>
      </c>
      <c r="B34" s="30"/>
      <c r="C34" s="30"/>
      <c r="D34" s="23" t="s">
        <v>152</v>
      </c>
      <c r="E34" s="30"/>
      <c r="F34" s="30">
        <v>265.41</v>
      </c>
    </row>
    <row r="35" spans="1:6" ht="12">
      <c r="A35" s="21" t="s">
        <v>13</v>
      </c>
      <c r="B35" s="121">
        <f>+B25+B30+B31+B32+B33+B34</f>
        <v>5020644.32</v>
      </c>
      <c r="C35" s="121">
        <f>+C25+C30+C31+C32+C33+C34</f>
        <v>8370720.689999999</v>
      </c>
      <c r="D35" s="10" t="s">
        <v>153</v>
      </c>
      <c r="E35" s="30">
        <v>261.84</v>
      </c>
      <c r="F35" s="30"/>
    </row>
    <row r="36" spans="1:6" ht="24" customHeight="1">
      <c r="A36" s="11" t="s">
        <v>118</v>
      </c>
      <c r="B36" s="30"/>
      <c r="C36" s="30"/>
      <c r="D36" s="23" t="s">
        <v>154</v>
      </c>
      <c r="E36" s="30"/>
      <c r="F36" s="30">
        <v>10340.79</v>
      </c>
    </row>
    <row r="37" spans="1:6" ht="13.5" customHeight="1">
      <c r="A37" s="12" t="s">
        <v>146</v>
      </c>
      <c r="B37" s="30">
        <f>35.46+10997.51+90.93+5755.86</f>
        <v>16879.76</v>
      </c>
      <c r="C37" s="30">
        <f>105.99+260786.36+9277.02+13007.29</f>
        <v>283176.66</v>
      </c>
      <c r="D37" s="23" t="s">
        <v>120</v>
      </c>
      <c r="E37" s="30">
        <f>5850</f>
        <v>5850</v>
      </c>
      <c r="F37" s="30">
        <f>5610</f>
        <v>5610</v>
      </c>
    </row>
    <row r="38" spans="1:6" ht="24">
      <c r="A38" s="12" t="s">
        <v>104</v>
      </c>
      <c r="B38" s="30">
        <v>45805.83</v>
      </c>
      <c r="C38" s="30">
        <v>48113.22</v>
      </c>
      <c r="D38" s="21" t="s">
        <v>12</v>
      </c>
      <c r="E38" s="121">
        <f>+E26+E30+E31+E32+E33+E34+E35+E36+E37</f>
        <v>16203.240000000002</v>
      </c>
      <c r="F38" s="121">
        <f>+F26+F30+F31+F32+F33+F34+F35+F36+F37</f>
        <v>29663.13</v>
      </c>
    </row>
    <row r="39" spans="1:6" ht="12">
      <c r="A39" s="12" t="s">
        <v>147</v>
      </c>
      <c r="B39" s="30"/>
      <c r="C39" s="30"/>
      <c r="D39" s="21" t="s">
        <v>45</v>
      </c>
      <c r="E39" s="121">
        <f>+E38</f>
        <v>16203.240000000002</v>
      </c>
      <c r="F39" s="121">
        <f>+F38</f>
        <v>29663.13</v>
      </c>
    </row>
    <row r="40" spans="1:6" ht="12">
      <c r="A40" s="12" t="s">
        <v>113</v>
      </c>
      <c r="B40" s="30"/>
      <c r="C40" s="30">
        <v>0.48</v>
      </c>
      <c r="D40" s="10"/>
      <c r="E40" s="30"/>
      <c r="F40" s="30"/>
    </row>
    <row r="41" spans="1:6" ht="12">
      <c r="A41" s="20" t="s">
        <v>14</v>
      </c>
      <c r="B41" s="121">
        <f>SUM(B37:B40)</f>
        <v>62685.59</v>
      </c>
      <c r="C41" s="121">
        <f>SUM(C37:C40)</f>
        <v>331290.36</v>
      </c>
      <c r="D41" s="10"/>
      <c r="E41" s="30"/>
      <c r="F41" s="30"/>
    </row>
    <row r="42" spans="1:6" ht="12">
      <c r="A42" s="13" t="s">
        <v>44</v>
      </c>
      <c r="B42" s="30">
        <v>60</v>
      </c>
      <c r="C42" s="30"/>
      <c r="D42" s="10"/>
      <c r="E42" s="30"/>
      <c r="F42" s="30"/>
    </row>
    <row r="43" spans="1:6" ht="12">
      <c r="A43" s="20" t="s">
        <v>45</v>
      </c>
      <c r="B43" s="121">
        <f>+B23+B35+B41+B42</f>
        <v>6677054.800000001</v>
      </c>
      <c r="C43" s="121">
        <f>+C23+C35+C41+C42</f>
        <v>11586885.859999998</v>
      </c>
      <c r="D43" s="10"/>
      <c r="E43" s="30"/>
      <c r="F43" s="30"/>
    </row>
    <row r="44" spans="2:6" ht="12.75" customHeight="1">
      <c r="B44" s="121"/>
      <c r="C44" s="121"/>
      <c r="D44" s="10"/>
      <c r="E44" s="30"/>
      <c r="F44" s="30"/>
    </row>
    <row r="45" spans="1:6" ht="12">
      <c r="A45" s="20" t="s">
        <v>47</v>
      </c>
      <c r="B45" s="120">
        <f>+B43+B16</f>
        <v>6677054.800000001</v>
      </c>
      <c r="C45" s="120">
        <f>+C43+C16</f>
        <v>11586885.859999998</v>
      </c>
      <c r="D45" s="20" t="s">
        <v>46</v>
      </c>
      <c r="E45" s="121">
        <f>+E21+E39</f>
        <v>6677055.130000001</v>
      </c>
      <c r="F45" s="121">
        <f>+F21+F39</f>
        <v>11586886.08</v>
      </c>
    </row>
    <row r="46" spans="2:7" ht="12">
      <c r="B46" s="33"/>
      <c r="C46" s="33"/>
      <c r="D46" s="2"/>
      <c r="E46" s="33"/>
      <c r="F46" s="33"/>
      <c r="G46" s="2"/>
    </row>
    <row r="47" spans="1:7" ht="12">
      <c r="A47" s="5" t="s">
        <v>193</v>
      </c>
      <c r="B47" s="138" t="s">
        <v>182</v>
      </c>
      <c r="C47" s="138"/>
      <c r="D47" s="26" t="s">
        <v>98</v>
      </c>
      <c r="F47" s="88"/>
      <c r="G47" s="2"/>
    </row>
    <row r="48" spans="2:7" ht="12">
      <c r="B48" s="33"/>
      <c r="C48" s="33" t="s">
        <v>181</v>
      </c>
      <c r="D48" s="27" t="s">
        <v>191</v>
      </c>
      <c r="E48" s="33"/>
      <c r="F48" s="33"/>
      <c r="G48" s="2"/>
    </row>
    <row r="49" spans="2:7" ht="12">
      <c r="B49" s="33"/>
      <c r="C49" s="33"/>
      <c r="D49" s="2"/>
      <c r="E49" s="33"/>
      <c r="F49" s="33"/>
      <c r="G49" s="2"/>
    </row>
    <row r="50" spans="3:6" ht="12">
      <c r="C50" s="33"/>
      <c r="D50" s="2"/>
      <c r="E50" s="83"/>
      <c r="F50" s="83"/>
    </row>
    <row r="51" spans="1:7" ht="12">
      <c r="A51" s="2"/>
      <c r="B51" s="33"/>
      <c r="C51" s="33"/>
      <c r="D51" s="2"/>
      <c r="E51" s="33"/>
      <c r="F51" s="33"/>
      <c r="G51" s="2"/>
    </row>
    <row r="52" ht="12">
      <c r="G52" s="2"/>
    </row>
    <row r="53" spans="1:7" ht="12">
      <c r="A53" s="2"/>
      <c r="B53" s="33"/>
      <c r="C53" s="33"/>
      <c r="D53" s="2"/>
      <c r="E53" s="33"/>
      <c r="F53" s="33"/>
      <c r="G53" s="2"/>
    </row>
    <row r="54" spans="1:7" ht="12">
      <c r="A54" s="2"/>
      <c r="B54" s="33"/>
      <c r="C54" s="33"/>
      <c r="D54" s="2"/>
      <c r="E54" s="33"/>
      <c r="F54" s="33"/>
      <c r="G54" s="2"/>
    </row>
    <row r="55" spans="1:7" ht="12">
      <c r="A55" s="2"/>
      <c r="B55" s="33"/>
      <c r="C55" s="33"/>
      <c r="D55" s="2"/>
      <c r="E55" s="33"/>
      <c r="F55" s="33"/>
      <c r="G55" s="2"/>
    </row>
    <row r="56" spans="1:7" ht="12">
      <c r="A56" s="2"/>
      <c r="B56" s="33"/>
      <c r="C56" s="33"/>
      <c r="D56" s="2"/>
      <c r="E56" s="33"/>
      <c r="F56" s="33"/>
      <c r="G56" s="2"/>
    </row>
    <row r="57" spans="1:7" ht="12">
      <c r="A57" s="2"/>
      <c r="B57" s="33"/>
      <c r="C57" s="33"/>
      <c r="D57" s="2"/>
      <c r="E57" s="33"/>
      <c r="F57" s="33"/>
      <c r="G57" s="2"/>
    </row>
    <row r="58" spans="1:7" ht="12">
      <c r="A58" s="2"/>
      <c r="B58" s="33"/>
      <c r="C58" s="33"/>
      <c r="D58" s="2"/>
      <c r="E58" s="33"/>
      <c r="F58" s="33"/>
      <c r="G58" s="2"/>
    </row>
    <row r="59" spans="1:7" ht="12">
      <c r="A59" s="2"/>
      <c r="B59" s="33"/>
      <c r="C59" s="33"/>
      <c r="D59" s="2"/>
      <c r="E59" s="33"/>
      <c r="F59" s="33"/>
      <c r="G59" s="2"/>
    </row>
    <row r="60" spans="1:7" ht="12">
      <c r="A60" s="2"/>
      <c r="B60" s="33"/>
      <c r="C60" s="33"/>
      <c r="D60" s="4"/>
      <c r="E60" s="33"/>
      <c r="F60" s="33"/>
      <c r="G60" s="2"/>
    </row>
    <row r="61" spans="1:7" s="5" customFormat="1" ht="12">
      <c r="A61" s="4"/>
      <c r="B61" s="83"/>
      <c r="C61" s="83"/>
      <c r="D61" s="4"/>
      <c r="E61" s="83"/>
      <c r="F61" s="83"/>
      <c r="G61" s="4"/>
    </row>
    <row r="62" spans="1:7" s="5" customFormat="1" ht="12">
      <c r="A62" s="4"/>
      <c r="B62" s="83"/>
      <c r="C62" s="83"/>
      <c r="D62" s="24"/>
      <c r="E62" s="83"/>
      <c r="F62" s="83"/>
      <c r="G62" s="4"/>
    </row>
    <row r="63" spans="2:6" s="5" customFormat="1" ht="12">
      <c r="B63" s="84"/>
      <c r="C63" s="84"/>
      <c r="E63" s="84"/>
      <c r="F63" s="84"/>
    </row>
    <row r="64" spans="2:6" s="5" customFormat="1" ht="12">
      <c r="B64" s="84"/>
      <c r="C64" s="84"/>
      <c r="E64" s="84"/>
      <c r="F64" s="84"/>
    </row>
    <row r="65" spans="2:6" s="5" customFormat="1" ht="12">
      <c r="B65" s="84"/>
      <c r="C65" s="84"/>
      <c r="E65" s="84"/>
      <c r="F65" s="84"/>
    </row>
    <row r="66" spans="2:6" s="5" customFormat="1" ht="12">
      <c r="B66" s="84"/>
      <c r="C66" s="84"/>
      <c r="E66" s="84"/>
      <c r="F66" s="84"/>
    </row>
    <row r="67" spans="2:6" s="5" customFormat="1" ht="12">
      <c r="B67" s="84"/>
      <c r="C67" s="84"/>
      <c r="E67" s="84"/>
      <c r="F67" s="84"/>
    </row>
    <row r="68" spans="2:6" s="5" customFormat="1" ht="12">
      <c r="B68" s="84"/>
      <c r="C68" s="84"/>
      <c r="E68" s="84"/>
      <c r="F68" s="84"/>
    </row>
    <row r="69" spans="2:6" s="5" customFormat="1" ht="12">
      <c r="B69" s="84"/>
      <c r="C69" s="84"/>
      <c r="E69" s="84"/>
      <c r="F69" s="84"/>
    </row>
    <row r="70" spans="2:6" s="5" customFormat="1" ht="12">
      <c r="B70" s="84"/>
      <c r="C70" s="84"/>
      <c r="E70" s="84"/>
      <c r="F70" s="84"/>
    </row>
    <row r="71" spans="2:6" s="5" customFormat="1" ht="12">
      <c r="B71" s="84"/>
      <c r="C71" s="84"/>
      <c r="E71" s="84"/>
      <c r="F71" s="84"/>
    </row>
    <row r="72" spans="2:6" s="5" customFormat="1" ht="12">
      <c r="B72" s="84"/>
      <c r="C72" s="84"/>
      <c r="E72" s="84"/>
      <c r="F72" s="84"/>
    </row>
    <row r="73" spans="2:6" s="5" customFormat="1" ht="12">
      <c r="B73" s="84"/>
      <c r="C73" s="84"/>
      <c r="E73" s="84"/>
      <c r="F73" s="84"/>
    </row>
  </sheetData>
  <mergeCells count="4">
    <mergeCell ref="E1:F1"/>
    <mergeCell ref="C2:D2"/>
    <mergeCell ref="B47:C47"/>
    <mergeCell ref="A3:C3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0">
      <selection activeCell="E34" sqref="A1:F34"/>
    </sheetView>
  </sheetViews>
  <sheetFormatPr defaultColWidth="9.140625" defaultRowHeight="12.75"/>
  <cols>
    <col min="1" max="1" width="42.7109375" style="3" customWidth="1"/>
    <col min="2" max="3" width="9.7109375" style="79" customWidth="1"/>
    <col min="4" max="4" width="42.7109375" style="3" customWidth="1"/>
    <col min="5" max="6" width="9.7109375" style="79" customWidth="1"/>
    <col min="7" max="16384" width="9.140625" style="3" customWidth="1"/>
  </cols>
  <sheetData>
    <row r="1" spans="5:6" ht="25.5" customHeight="1">
      <c r="E1" s="142" t="s">
        <v>156</v>
      </c>
      <c r="F1" s="142"/>
    </row>
    <row r="2" spans="1:4" ht="12.75" customHeight="1">
      <c r="A2" s="9"/>
      <c r="C2" s="140" t="s">
        <v>15</v>
      </c>
      <c r="D2" s="140"/>
    </row>
    <row r="3" spans="1:4" ht="12.75" customHeight="1">
      <c r="A3" s="9"/>
      <c r="C3" s="78"/>
      <c r="D3" s="35"/>
    </row>
    <row r="4" spans="1:3" ht="12">
      <c r="A4" s="140" t="str">
        <f>'справка № 1-КИС-БАЛАНС'!A3:C3</f>
        <v>Наименование на ИД:ТИ БИ АЙ ЕВРОБОНД АД</v>
      </c>
      <c r="B4" s="140"/>
      <c r="C4" s="140"/>
    </row>
    <row r="5" spans="1:6" ht="12">
      <c r="A5" s="1" t="str">
        <f>'справка № 1-КИС-БАЛАНС'!A4</f>
        <v>Отчетен период: 30.06.2009г.</v>
      </c>
      <c r="B5" s="90"/>
      <c r="C5" s="91"/>
      <c r="D5" s="36" t="str">
        <f>'справка № 1-КИС-БАЛАНС'!D3:F3</f>
        <v>ЕИК по БУЛСТАТ: 131116580</v>
      </c>
      <c r="E5" s="143"/>
      <c r="F5" s="143"/>
    </row>
    <row r="6" spans="1:7" ht="12">
      <c r="A6" s="37"/>
      <c r="B6" s="91"/>
      <c r="C6" s="91"/>
      <c r="D6" s="38"/>
      <c r="E6" s="93"/>
      <c r="F6" s="87" t="s">
        <v>82</v>
      </c>
      <c r="G6" s="2"/>
    </row>
    <row r="7" spans="1:7" ht="24">
      <c r="A7" s="39" t="s">
        <v>16</v>
      </c>
      <c r="B7" s="89" t="s">
        <v>2</v>
      </c>
      <c r="C7" s="89" t="s">
        <v>5</v>
      </c>
      <c r="D7" s="39" t="s">
        <v>17</v>
      </c>
      <c r="E7" s="89" t="s">
        <v>2</v>
      </c>
      <c r="F7" s="89" t="s">
        <v>5</v>
      </c>
      <c r="G7" s="2"/>
    </row>
    <row r="8" spans="1:7" ht="12">
      <c r="A8" s="39" t="s">
        <v>6</v>
      </c>
      <c r="B8" s="89">
        <v>1</v>
      </c>
      <c r="C8" s="89">
        <v>2</v>
      </c>
      <c r="D8" s="39" t="s">
        <v>6</v>
      </c>
      <c r="E8" s="89">
        <v>1</v>
      </c>
      <c r="F8" s="89">
        <v>2</v>
      </c>
      <c r="G8" s="2"/>
    </row>
    <row r="9" spans="1:7" ht="18" customHeight="1">
      <c r="A9" s="40" t="s">
        <v>18</v>
      </c>
      <c r="B9" s="92"/>
      <c r="C9" s="92"/>
      <c r="D9" s="40" t="s">
        <v>19</v>
      </c>
      <c r="E9" s="94"/>
      <c r="F9" s="94"/>
      <c r="G9" s="2"/>
    </row>
    <row r="10" spans="1:7" ht="12">
      <c r="A10" s="11" t="s">
        <v>20</v>
      </c>
      <c r="B10" s="75"/>
      <c r="C10" s="75"/>
      <c r="D10" s="11" t="s">
        <v>48</v>
      </c>
      <c r="E10" s="75"/>
      <c r="F10" s="75"/>
      <c r="G10" s="2"/>
    </row>
    <row r="11" spans="1:7" s="5" customFormat="1" ht="12">
      <c r="A11" s="12" t="s">
        <v>21</v>
      </c>
      <c r="B11" s="82"/>
      <c r="C11" s="82"/>
      <c r="D11" s="12" t="s">
        <v>49</v>
      </c>
      <c r="E11" s="82"/>
      <c r="F11" s="82"/>
      <c r="G11" s="4"/>
    </row>
    <row r="12" spans="1:7" s="5" customFormat="1" ht="31.5" customHeight="1">
      <c r="A12" s="12" t="s">
        <v>157</v>
      </c>
      <c r="B12" s="82">
        <f>805340.59+9678.99</f>
        <v>815019.58</v>
      </c>
      <c r="C12" s="82">
        <f>234489.48+4242.36</f>
        <v>238731.84</v>
      </c>
      <c r="D12" s="12" t="s">
        <v>50</v>
      </c>
      <c r="E12" s="82">
        <f>729406.97+3004.18</f>
        <v>732411.15</v>
      </c>
      <c r="F12" s="82">
        <f>235196.03+8689.19</f>
        <v>243885.22</v>
      </c>
      <c r="G12" s="4"/>
    </row>
    <row r="13" spans="1:7" s="5" customFormat="1" ht="15.75" customHeight="1">
      <c r="A13" s="12" t="s">
        <v>22</v>
      </c>
      <c r="B13" s="82"/>
      <c r="C13" s="82"/>
      <c r="D13" s="12" t="s">
        <v>51</v>
      </c>
      <c r="E13" s="82"/>
      <c r="F13" s="82"/>
      <c r="G13" s="4"/>
    </row>
    <row r="14" spans="1:7" s="5" customFormat="1" ht="12">
      <c r="A14" s="12" t="s">
        <v>158</v>
      </c>
      <c r="B14" s="82">
        <v>773.25</v>
      </c>
      <c r="C14" s="82">
        <v>75182.94</v>
      </c>
      <c r="D14" s="12" t="s">
        <v>163</v>
      </c>
      <c r="E14" s="82">
        <v>245.73</v>
      </c>
      <c r="F14" s="82">
        <v>76484.84</v>
      </c>
      <c r="G14" s="4"/>
    </row>
    <row r="15" spans="1:7" s="5" customFormat="1" ht="12">
      <c r="A15" s="12" t="s">
        <v>23</v>
      </c>
      <c r="B15" s="82">
        <f>1190.23+1925.9</f>
        <v>3116.13</v>
      </c>
      <c r="C15" s="82">
        <f>979.49+1550.26</f>
        <v>2529.75</v>
      </c>
      <c r="D15" s="23" t="s">
        <v>52</v>
      </c>
      <c r="E15" s="82">
        <f>74221.49+260972.41</f>
        <v>335193.9</v>
      </c>
      <c r="F15" s="82">
        <f>344850.16+138674.05</f>
        <v>483524.20999999996</v>
      </c>
      <c r="G15" s="4"/>
    </row>
    <row r="16" spans="1:7" s="5" customFormat="1" ht="12">
      <c r="A16" s="20"/>
      <c r="B16" s="82"/>
      <c r="C16" s="82"/>
      <c r="D16" s="12" t="s">
        <v>26</v>
      </c>
      <c r="E16" s="82"/>
      <c r="F16" s="82"/>
      <c r="G16" s="4"/>
    </row>
    <row r="17" spans="1:7" s="5" customFormat="1" ht="12">
      <c r="A17" s="20" t="s">
        <v>24</v>
      </c>
      <c r="B17" s="76">
        <f>SUM(B11:B15)-B13</f>
        <v>818908.96</v>
      </c>
      <c r="C17" s="76">
        <f>SUM(C11:C15)-C13</f>
        <v>316444.53</v>
      </c>
      <c r="D17" s="20" t="s">
        <v>24</v>
      </c>
      <c r="E17" s="76">
        <f>SUM(E11:E16)-E13</f>
        <v>1067850.78</v>
      </c>
      <c r="F17" s="76">
        <f>SUM(F11:F16)-F13</f>
        <v>803894.27</v>
      </c>
      <c r="G17" s="4"/>
    </row>
    <row r="18" spans="1:6" s="5" customFormat="1" ht="12.75">
      <c r="A18" s="117" t="s">
        <v>110</v>
      </c>
      <c r="B18" s="128">
        <f>IF(E17-B17&gt;0,E17-B17,0)</f>
        <v>248941.82000000007</v>
      </c>
      <c r="C18" s="128">
        <f>IF(F17-C17&gt;0,F17-C17,0)</f>
        <v>487449.74</v>
      </c>
      <c r="D18" s="118" t="s">
        <v>110</v>
      </c>
      <c r="E18" s="116">
        <f>IF(B17-E17&gt;0,B17-E17,0)</f>
        <v>0</v>
      </c>
      <c r="F18" s="116">
        <f>IF(C17-F17&gt;0,C17-F17,0)</f>
        <v>0</v>
      </c>
    </row>
    <row r="19" spans="1:6" s="5" customFormat="1" ht="12">
      <c r="A19" s="13" t="s">
        <v>122</v>
      </c>
      <c r="B19" s="82"/>
      <c r="C19" s="82"/>
      <c r="D19" s="13" t="s">
        <v>53</v>
      </c>
      <c r="E19" s="82"/>
      <c r="F19" s="82"/>
    </row>
    <row r="20" spans="1:6" s="5" customFormat="1" ht="12">
      <c r="A20" s="41" t="s">
        <v>184</v>
      </c>
      <c r="B20" s="82"/>
      <c r="C20" s="82"/>
      <c r="D20" s="118"/>
      <c r="E20" s="82"/>
      <c r="F20" s="82"/>
    </row>
    <row r="21" spans="1:6" s="5" customFormat="1" ht="12">
      <c r="A21" s="12" t="s">
        <v>133</v>
      </c>
      <c r="B21" s="82">
        <v>63310.95</v>
      </c>
      <c r="C21" s="82">
        <v>87972.83</v>
      </c>
      <c r="D21" s="13"/>
      <c r="E21" s="82"/>
      <c r="F21" s="82"/>
    </row>
    <row r="22" spans="1:6" s="5" customFormat="1" ht="12">
      <c r="A22" s="12" t="s">
        <v>25</v>
      </c>
      <c r="B22" s="82"/>
      <c r="C22" s="82"/>
      <c r="D22" s="20"/>
      <c r="E22" s="82"/>
      <c r="F22" s="82"/>
    </row>
    <row r="23" spans="1:6" s="5" customFormat="1" ht="12">
      <c r="A23" s="12" t="s">
        <v>159</v>
      </c>
      <c r="B23" s="82">
        <f>2012.61+5760+317.07+1308.96</f>
        <v>9398.64</v>
      </c>
      <c r="C23" s="82">
        <f>2010.01+5280+242.15+2290.32</f>
        <v>9822.48</v>
      </c>
      <c r="D23" s="12"/>
      <c r="E23" s="82"/>
      <c r="F23" s="82"/>
    </row>
    <row r="24" spans="1:6" s="5" customFormat="1" ht="12">
      <c r="A24" s="12" t="s">
        <v>26</v>
      </c>
      <c r="B24" s="82"/>
      <c r="C24" s="82"/>
      <c r="D24" s="12"/>
      <c r="E24" s="82"/>
      <c r="F24" s="82"/>
    </row>
    <row r="25" spans="1:6" s="5" customFormat="1" ht="12">
      <c r="A25" s="20" t="s">
        <v>27</v>
      </c>
      <c r="B25" s="76">
        <f>SUM(B20:B24)</f>
        <v>72709.59</v>
      </c>
      <c r="C25" s="76">
        <f>SUM(C20:C24)</f>
        <v>97795.31</v>
      </c>
      <c r="D25" s="20" t="s">
        <v>27</v>
      </c>
      <c r="E25" s="76">
        <f>E19</f>
        <v>0</v>
      </c>
      <c r="F25" s="76">
        <f>F19</f>
        <v>0</v>
      </c>
    </row>
    <row r="26" spans="1:6" s="5" customFormat="1" ht="24">
      <c r="A26" s="117" t="s">
        <v>111</v>
      </c>
      <c r="B26" s="115">
        <f>IF(E25-B25&gt;0,E25-B25,0)</f>
        <v>0</v>
      </c>
      <c r="C26" s="115">
        <f>IF(F25-C25&gt;0,F25-C25,0)</f>
        <v>0</v>
      </c>
      <c r="D26" s="13" t="s">
        <v>111</v>
      </c>
      <c r="E26" s="127">
        <f>IF(B25-E25&gt;0,B25-E25,0)</f>
        <v>72709.59</v>
      </c>
      <c r="F26" s="127">
        <f>IF(C25-F25&gt;0,C25-F25,0)</f>
        <v>97795.31</v>
      </c>
    </row>
    <row r="27" spans="1:6" s="5" customFormat="1" ht="12">
      <c r="A27" s="13" t="s">
        <v>160</v>
      </c>
      <c r="B27" s="76">
        <f>+B17+B25</f>
        <v>891618.5499999999</v>
      </c>
      <c r="C27" s="76">
        <f>+C17+C25</f>
        <v>414239.84</v>
      </c>
      <c r="D27" s="13" t="s">
        <v>54</v>
      </c>
      <c r="E27" s="76">
        <f>+E17+E25</f>
        <v>1067850.78</v>
      </c>
      <c r="F27" s="76">
        <f>+F17+F25</f>
        <v>803894.27</v>
      </c>
    </row>
    <row r="28" spans="1:6" s="5" customFormat="1" ht="12.75">
      <c r="A28" s="13" t="s">
        <v>185</v>
      </c>
      <c r="B28" s="128">
        <f>IF(E27-B27&gt;0,E27-B27,0)</f>
        <v>176232.2300000001</v>
      </c>
      <c r="C28" s="128">
        <f>IF(F27-C27&gt;0,F27-C27,0)</f>
        <v>389654.43</v>
      </c>
      <c r="D28" s="13" t="s">
        <v>179</v>
      </c>
      <c r="E28" s="116">
        <f>IF(B27-E27&gt;0,B27-E27,0)</f>
        <v>0</v>
      </c>
      <c r="F28" s="116">
        <f>IF(C27-F27&gt;0,C27-F27,0)</f>
        <v>0</v>
      </c>
    </row>
    <row r="29" spans="1:6" s="5" customFormat="1" ht="18.75" customHeight="1">
      <c r="A29" s="13" t="s">
        <v>161</v>
      </c>
      <c r="B29" s="82"/>
      <c r="C29" s="82"/>
      <c r="D29" s="12"/>
      <c r="E29" s="82"/>
      <c r="F29" s="82"/>
    </row>
    <row r="30" spans="1:6" s="5" customFormat="1" ht="24" customHeight="1">
      <c r="A30" s="13" t="s">
        <v>162</v>
      </c>
      <c r="B30" s="76">
        <f>+B28-B29</f>
        <v>176232.2300000001</v>
      </c>
      <c r="C30" s="76">
        <f>+C28-C29</f>
        <v>389654.43</v>
      </c>
      <c r="D30" s="13" t="s">
        <v>164</v>
      </c>
      <c r="E30" s="116">
        <f>E28</f>
        <v>0</v>
      </c>
      <c r="F30" s="116">
        <f>F28</f>
        <v>0</v>
      </c>
    </row>
    <row r="31" spans="1:6" s="5" customFormat="1" ht="14.25" customHeight="1">
      <c r="A31" s="42" t="s">
        <v>186</v>
      </c>
      <c r="B31" s="76">
        <f>+B27+B29+B30</f>
        <v>1067850.78</v>
      </c>
      <c r="C31" s="76">
        <f>+C27+C29+C30</f>
        <v>803894.27</v>
      </c>
      <c r="D31" s="13" t="s">
        <v>180</v>
      </c>
      <c r="E31" s="76">
        <f>+E27+E30</f>
        <v>1067850.78</v>
      </c>
      <c r="F31" s="76">
        <f>+F27+F30</f>
        <v>803894.27</v>
      </c>
    </row>
    <row r="32" spans="1:6" s="5" customFormat="1" ht="13.5" customHeight="1">
      <c r="A32" s="43"/>
      <c r="B32" s="83"/>
      <c r="C32" s="83"/>
      <c r="D32" s="44"/>
      <c r="E32" s="83"/>
      <c r="F32" s="83"/>
    </row>
    <row r="33" spans="1:6" s="5" customFormat="1" ht="17.25" customHeight="1">
      <c r="A33" s="5" t="str">
        <f>'справка № 1-КИС-БАЛАНС'!A47</f>
        <v>Дата:22.07.2009г.</v>
      </c>
      <c r="B33" s="84"/>
      <c r="C33" s="141" t="s">
        <v>55</v>
      </c>
      <c r="D33" s="141"/>
      <c r="E33" s="144" t="s">
        <v>165</v>
      </c>
      <c r="F33" s="144"/>
    </row>
    <row r="34" spans="1:6" s="5" customFormat="1" ht="15.75" customHeight="1">
      <c r="A34" s="4"/>
      <c r="B34" s="83"/>
      <c r="C34" s="83"/>
      <c r="D34" s="32" t="str">
        <f>'справка № 1-КИС-БАЛАНС'!C48</f>
        <v>/Eлеонора Стоева/</v>
      </c>
      <c r="E34" s="139" t="str">
        <f>'справка № 1-КИС-БАЛАНС'!D48</f>
        <v>/Радослав Гергов/</v>
      </c>
      <c r="F34" s="139"/>
    </row>
    <row r="35" spans="1:6" s="5" customFormat="1" ht="15.75" customHeight="1">
      <c r="A35" s="45"/>
      <c r="B35" s="83"/>
      <c r="C35" s="83"/>
      <c r="D35" s="4"/>
      <c r="E35" s="83"/>
      <c r="F35" s="83"/>
    </row>
    <row r="36" spans="1:6" s="5" customFormat="1" ht="15.75" customHeight="1">
      <c r="A36" s="45"/>
      <c r="B36" s="83"/>
      <c r="C36" s="83"/>
      <c r="D36" s="4"/>
      <c r="E36" s="83"/>
      <c r="F36" s="83"/>
    </row>
    <row r="37" spans="1:6" s="5" customFormat="1" ht="15.75" customHeight="1">
      <c r="A37" s="46"/>
      <c r="B37" s="83"/>
      <c r="C37" s="83"/>
      <c r="D37" s="4"/>
      <c r="E37" s="83"/>
      <c r="F37" s="83"/>
    </row>
    <row r="38" spans="1:6" s="5" customFormat="1" ht="15" customHeight="1">
      <c r="A38" s="4"/>
      <c r="B38" s="83"/>
      <c r="C38" s="83"/>
      <c r="D38" s="4"/>
      <c r="E38" s="83"/>
      <c r="F38" s="83"/>
    </row>
    <row r="39" spans="1:6" s="5" customFormat="1" ht="17.25" customHeight="1">
      <c r="A39" s="4"/>
      <c r="B39" s="83"/>
      <c r="C39" s="83"/>
      <c r="D39" s="4"/>
      <c r="E39" s="83"/>
      <c r="F39" s="83"/>
    </row>
    <row r="40" spans="2:6" s="5" customFormat="1" ht="12">
      <c r="B40" s="84"/>
      <c r="C40" s="84"/>
      <c r="E40" s="84"/>
      <c r="F40" s="84"/>
    </row>
    <row r="41" spans="2:6" s="5" customFormat="1" ht="12">
      <c r="B41" s="84"/>
      <c r="C41" s="84"/>
      <c r="E41" s="84"/>
      <c r="F41" s="84"/>
    </row>
    <row r="42" spans="2:6" s="5" customFormat="1" ht="12.75" customHeight="1">
      <c r="B42" s="84"/>
      <c r="C42" s="84"/>
      <c r="E42" s="84"/>
      <c r="F42" s="84"/>
    </row>
    <row r="43" spans="2:6" s="5" customFormat="1" ht="12">
      <c r="B43" s="84"/>
      <c r="C43" s="84"/>
      <c r="E43" s="84"/>
      <c r="F43" s="84"/>
    </row>
    <row r="44" spans="2:6" s="5" customFormat="1" ht="12">
      <c r="B44" s="84"/>
      <c r="C44" s="84"/>
      <c r="E44" s="84"/>
      <c r="F44" s="84"/>
    </row>
    <row r="45" spans="2:6" s="5" customFormat="1" ht="12">
      <c r="B45" s="84"/>
      <c r="C45" s="84"/>
      <c r="E45" s="84"/>
      <c r="F45" s="84"/>
    </row>
    <row r="46" spans="2:6" s="5" customFormat="1" ht="12">
      <c r="B46" s="84"/>
      <c r="C46" s="84"/>
      <c r="E46" s="84"/>
      <c r="F46" s="84"/>
    </row>
    <row r="47" spans="1:6" s="5" customFormat="1" ht="12">
      <c r="A47" s="3"/>
      <c r="B47" s="84"/>
      <c r="C47" s="84"/>
      <c r="E47" s="84"/>
      <c r="F47" s="84"/>
    </row>
  </sheetData>
  <mergeCells count="7">
    <mergeCell ref="E34:F34"/>
    <mergeCell ref="A4:C4"/>
    <mergeCell ref="C33:D33"/>
    <mergeCell ref="E1:F1"/>
    <mergeCell ref="C2:D2"/>
    <mergeCell ref="E5:F5"/>
    <mergeCell ref="E33:F33"/>
  </mergeCells>
  <printOptions horizontalCentered="1"/>
  <pageMargins left="0" right="0" top="0.6299212598425197" bottom="0.3937007874015748" header="0.2755905511811024" footer="0.11811023622047245"/>
  <pageSetup fitToHeight="1" fitToWidth="1"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1">
      <selection activeCell="B20" sqref="B20"/>
    </sheetView>
  </sheetViews>
  <sheetFormatPr defaultColWidth="9.140625" defaultRowHeight="12.75"/>
  <cols>
    <col min="1" max="1" width="47.140625" style="3" customWidth="1"/>
    <col min="2" max="2" width="11.7109375" style="28" customWidth="1"/>
    <col min="3" max="3" width="11.00390625" style="28" customWidth="1"/>
    <col min="4" max="4" width="10.7109375" style="28" customWidth="1"/>
    <col min="5" max="5" width="11.7109375" style="28" customWidth="1"/>
    <col min="6" max="6" width="12.28125" style="28" customWidth="1"/>
    <col min="7" max="7" width="10.7109375" style="28" customWidth="1"/>
    <col min="8" max="16384" width="9.140625" style="3" customWidth="1"/>
  </cols>
  <sheetData>
    <row r="1" spans="1:7" ht="12">
      <c r="A1" s="47"/>
      <c r="B1" s="48"/>
      <c r="C1" s="48"/>
      <c r="D1" s="48"/>
      <c r="E1" s="147" t="s">
        <v>166</v>
      </c>
      <c r="F1" s="147"/>
      <c r="G1" s="48"/>
    </row>
    <row r="2" spans="1:7" ht="12">
      <c r="A2" s="150" t="s">
        <v>97</v>
      </c>
      <c r="B2" s="151"/>
      <c r="C2" s="151"/>
      <c r="D2" s="151"/>
      <c r="E2" s="151"/>
      <c r="F2" s="151"/>
      <c r="G2" s="48"/>
    </row>
    <row r="3" spans="1:7" ht="12">
      <c r="A3" s="49"/>
      <c r="B3" s="50"/>
      <c r="C3" s="50"/>
      <c r="D3" s="50"/>
      <c r="E3" s="50"/>
      <c r="F3" s="50"/>
      <c r="G3" s="48"/>
    </row>
    <row r="4" spans="1:7" ht="15" customHeight="1">
      <c r="A4" s="1" t="str">
        <f>'справка № 1-КИС-БАЛАНС'!A3:C3</f>
        <v>Наименование на ИД:ТИ БИ АЙ ЕВРОБОНД АД</v>
      </c>
      <c r="B4" s="34"/>
      <c r="D4" s="154" t="str">
        <f>'справка № 1-КИС-БАЛАНС'!D3:F3</f>
        <v>ЕИК по БУЛСТАТ: 131116580</v>
      </c>
      <c r="E4" s="154"/>
      <c r="F4" s="154"/>
      <c r="G4" s="48"/>
    </row>
    <row r="5" spans="1:7" ht="12">
      <c r="A5" s="1" t="str">
        <f>'справка № 1-КИС-БАЛАНС'!A4</f>
        <v>Отчетен период: 30.06.2009г.</v>
      </c>
      <c r="B5" s="34"/>
      <c r="E5" s="51"/>
      <c r="F5" s="51"/>
      <c r="G5" s="48"/>
    </row>
    <row r="6" spans="1:7" ht="12">
      <c r="A6" s="1"/>
      <c r="B6" s="34"/>
      <c r="C6" s="52"/>
      <c r="D6" s="53"/>
      <c r="E6" s="48"/>
      <c r="F6" s="48"/>
      <c r="G6" s="54" t="s">
        <v>82</v>
      </c>
    </row>
    <row r="7" spans="1:7" ht="13.5" customHeight="1">
      <c r="A7" s="148" t="s">
        <v>83</v>
      </c>
      <c r="B7" s="153" t="s">
        <v>4</v>
      </c>
      <c r="C7" s="153"/>
      <c r="D7" s="153"/>
      <c r="E7" s="153" t="s">
        <v>5</v>
      </c>
      <c r="F7" s="153"/>
      <c r="G7" s="153"/>
    </row>
    <row r="8" spans="1:7" ht="30.75" customHeight="1">
      <c r="A8" s="149"/>
      <c r="B8" s="56" t="s">
        <v>84</v>
      </c>
      <c r="C8" s="56" t="s">
        <v>85</v>
      </c>
      <c r="D8" s="56" t="s">
        <v>86</v>
      </c>
      <c r="E8" s="56" t="s">
        <v>84</v>
      </c>
      <c r="F8" s="56" t="s">
        <v>85</v>
      </c>
      <c r="G8" s="56" t="s">
        <v>86</v>
      </c>
    </row>
    <row r="9" spans="1:7" s="9" customFormat="1" ht="12">
      <c r="A9" s="55" t="s">
        <v>6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</row>
    <row r="10" spans="1:7" ht="12">
      <c r="A10" s="57" t="s">
        <v>167</v>
      </c>
      <c r="B10" s="61"/>
      <c r="C10" s="61"/>
      <c r="D10" s="59"/>
      <c r="E10" s="58"/>
      <c r="F10" s="58"/>
      <c r="G10" s="59"/>
    </row>
    <row r="11" spans="1:7" ht="12.75">
      <c r="A11" s="60" t="s">
        <v>187</v>
      </c>
      <c r="B11" s="61">
        <v>217227.11</v>
      </c>
      <c r="C11" s="61">
        <f>2484996.05+2794341.67+1792.3</f>
        <v>5281130.02</v>
      </c>
      <c r="D11" s="59">
        <f>+B11-C11</f>
        <v>-5063902.909999999</v>
      </c>
      <c r="E11" s="122">
        <v>1925230.85</v>
      </c>
      <c r="F11" s="122">
        <v>5794519.67</v>
      </c>
      <c r="G11" s="59">
        <v>-3869288.82</v>
      </c>
    </row>
    <row r="12" spans="1:7" ht="12.75">
      <c r="A12" s="60" t="s">
        <v>168</v>
      </c>
      <c r="B12" s="58"/>
      <c r="C12" s="58"/>
      <c r="D12" s="59">
        <f aca="true" t="shared" si="0" ref="D12:D33">+B12-C12</f>
        <v>0</v>
      </c>
      <c r="E12" s="122"/>
      <c r="F12" s="122"/>
      <c r="G12" s="59">
        <v>0</v>
      </c>
    </row>
    <row r="13" spans="1:7" ht="12.75">
      <c r="A13" s="60" t="s">
        <v>96</v>
      </c>
      <c r="B13" s="30"/>
      <c r="C13" s="30"/>
      <c r="D13" s="59">
        <f t="shared" si="0"/>
        <v>0</v>
      </c>
      <c r="E13" s="123"/>
      <c r="F13" s="122"/>
      <c r="G13" s="59">
        <v>0</v>
      </c>
    </row>
    <row r="14" spans="1:7" ht="12.75">
      <c r="A14" s="10" t="s">
        <v>127</v>
      </c>
      <c r="B14" s="30"/>
      <c r="C14" s="30"/>
      <c r="D14" s="59">
        <f t="shared" si="0"/>
        <v>0</v>
      </c>
      <c r="E14" s="122"/>
      <c r="F14" s="122"/>
      <c r="G14" s="59">
        <v>0</v>
      </c>
    </row>
    <row r="15" spans="1:7" ht="12.75">
      <c r="A15" s="10" t="s">
        <v>137</v>
      </c>
      <c r="B15" s="30"/>
      <c r="C15" s="30"/>
      <c r="D15" s="59">
        <f t="shared" si="0"/>
        <v>0</v>
      </c>
      <c r="E15" s="122"/>
      <c r="F15" s="122"/>
      <c r="G15" s="59">
        <v>0</v>
      </c>
    </row>
    <row r="16" spans="1:7" ht="12">
      <c r="A16" s="60" t="s">
        <v>125</v>
      </c>
      <c r="B16" s="61"/>
      <c r="C16" s="58"/>
      <c r="D16" s="59">
        <f t="shared" si="0"/>
        <v>0</v>
      </c>
      <c r="E16" s="58"/>
      <c r="F16" s="58"/>
      <c r="G16" s="59">
        <v>0</v>
      </c>
    </row>
    <row r="17" spans="1:7" ht="12">
      <c r="A17" s="57" t="s">
        <v>123</v>
      </c>
      <c r="B17" s="59">
        <f>SUM(B11:B16)-B13</f>
        <v>217227.11</v>
      </c>
      <c r="C17" s="59">
        <f>SUM(C11:C16)-C13</f>
        <v>5281130.02</v>
      </c>
      <c r="D17" s="59">
        <f>SUM(D11:D16)-D13</f>
        <v>-5063902.909999999</v>
      </c>
      <c r="E17" s="59">
        <v>1925230.85</v>
      </c>
      <c r="F17" s="59">
        <v>5794519.67</v>
      </c>
      <c r="G17" s="59">
        <v>-3869288.82</v>
      </c>
    </row>
    <row r="18" spans="1:7" ht="12">
      <c r="A18" s="57" t="s">
        <v>134</v>
      </c>
      <c r="B18" s="58"/>
      <c r="C18" s="58"/>
      <c r="D18" s="59"/>
      <c r="E18" s="58"/>
      <c r="F18" s="58"/>
      <c r="G18" s="59"/>
    </row>
    <row r="19" spans="1:7" ht="12.75">
      <c r="A19" s="60" t="s">
        <v>87</v>
      </c>
      <c r="B19" s="58">
        <f>-B21+280891.35+116807.27+4165933.1+213750.63+303138.41+98922.09+194164.28+54414.11+1967603.1+62.43+3.64+15343.49</f>
        <v>7410093.36</v>
      </c>
      <c r="C19" s="58">
        <f>-297.96-892.27+1525398.21+1071.12+1980.2+1.29+2.15+511830.94+3971.62+1448798.2+58674.9</f>
        <v>3550538.4</v>
      </c>
      <c r="D19" s="59">
        <f t="shared" si="0"/>
        <v>3859554.9600000004</v>
      </c>
      <c r="E19" s="122">
        <v>14826251.1</v>
      </c>
      <c r="F19" s="122">
        <v>11805478.190000001</v>
      </c>
      <c r="G19" s="59">
        <v>3020772.91</v>
      </c>
    </row>
    <row r="20" spans="1:7" ht="12.75">
      <c r="A20" s="60" t="s">
        <v>88</v>
      </c>
      <c r="B20" s="58"/>
      <c r="C20" s="58"/>
      <c r="D20" s="59">
        <f t="shared" si="0"/>
        <v>0</v>
      </c>
      <c r="E20" s="122"/>
      <c r="F20" s="122"/>
      <c r="G20" s="59">
        <v>0</v>
      </c>
    </row>
    <row r="21" spans="1:7" ht="12.75">
      <c r="A21" s="62" t="s">
        <v>94</v>
      </c>
      <c r="B21" s="61">
        <f>612.76+12.5+315.1+0.18</f>
        <v>940.54</v>
      </c>
      <c r="C21" s="61">
        <f>898.14+877.06+8.06+297.96+892.27</f>
        <v>2973.49</v>
      </c>
      <c r="D21" s="59">
        <f t="shared" si="0"/>
        <v>-2032.9499999999998</v>
      </c>
      <c r="E21" s="122">
        <v>4653.76</v>
      </c>
      <c r="F21" s="122">
        <v>5049.19</v>
      </c>
      <c r="G21" s="59">
        <v>-395.43</v>
      </c>
    </row>
    <row r="22" spans="1:7" ht="12.75">
      <c r="A22" s="60" t="s">
        <v>92</v>
      </c>
      <c r="B22" s="61"/>
      <c r="C22" s="61"/>
      <c r="D22" s="59">
        <f t="shared" si="0"/>
        <v>0</v>
      </c>
      <c r="E22" s="122"/>
      <c r="F22" s="122"/>
      <c r="G22" s="59">
        <v>0</v>
      </c>
    </row>
    <row r="23" spans="1:7" ht="12.75">
      <c r="A23" s="63" t="s">
        <v>106</v>
      </c>
      <c r="B23" s="61"/>
      <c r="C23" s="61">
        <v>69931.67</v>
      </c>
      <c r="D23" s="59">
        <f t="shared" si="0"/>
        <v>-69931.67</v>
      </c>
      <c r="E23" s="122"/>
      <c r="F23" s="58">
        <v>169328.86</v>
      </c>
      <c r="G23" s="59">
        <v>-169328.86</v>
      </c>
    </row>
    <row r="24" spans="1:7" ht="12.75">
      <c r="A24" s="63" t="s">
        <v>107</v>
      </c>
      <c r="B24" s="61"/>
      <c r="C24" s="124">
        <v>1205.83</v>
      </c>
      <c r="D24" s="59">
        <f t="shared" si="0"/>
        <v>-1205.83</v>
      </c>
      <c r="E24" s="122"/>
      <c r="F24" s="122">
        <v>2441.62</v>
      </c>
      <c r="G24" s="59">
        <v>-2441.62</v>
      </c>
    </row>
    <row r="25" spans="1:7" ht="12.75">
      <c r="A25" s="10" t="s">
        <v>169</v>
      </c>
      <c r="B25" s="61">
        <f>180.42+1.62</f>
        <v>182.04</v>
      </c>
      <c r="C25" s="61">
        <f>186.15+237.42+62.49-0.02</f>
        <v>486.04</v>
      </c>
      <c r="D25" s="59">
        <f t="shared" si="0"/>
        <v>-304</v>
      </c>
      <c r="E25" s="122">
        <v>20965.29</v>
      </c>
      <c r="F25" s="122">
        <v>39480.05</v>
      </c>
      <c r="G25" s="59">
        <v>-18514.76</v>
      </c>
    </row>
    <row r="26" spans="1:7" ht="12.75">
      <c r="A26" s="60" t="s">
        <v>93</v>
      </c>
      <c r="B26" s="61"/>
      <c r="C26" s="61">
        <f>276+120+1100</f>
        <v>1496</v>
      </c>
      <c r="D26" s="59">
        <f t="shared" si="0"/>
        <v>-1496</v>
      </c>
      <c r="E26" s="122"/>
      <c r="F26" s="122">
        <v>3831.5</v>
      </c>
      <c r="G26" s="59">
        <v>-3831.5</v>
      </c>
    </row>
    <row r="27" spans="1:7" ht="12">
      <c r="A27" s="57" t="s">
        <v>124</v>
      </c>
      <c r="B27" s="125">
        <f>SUM(B19:B26)</f>
        <v>7411215.94</v>
      </c>
      <c r="C27" s="125">
        <f>SUM(C19:C26)</f>
        <v>3626631.43</v>
      </c>
      <c r="D27" s="59">
        <f>SUM(D19:D26)</f>
        <v>3784584.5100000002</v>
      </c>
      <c r="E27" s="59">
        <v>14851870.149999999</v>
      </c>
      <c r="F27" s="59">
        <v>12025609.41</v>
      </c>
      <c r="G27" s="59">
        <v>2826260.74</v>
      </c>
    </row>
    <row r="28" spans="1:7" ht="12">
      <c r="A28" s="64" t="s">
        <v>135</v>
      </c>
      <c r="B28" s="61"/>
      <c r="C28" s="61"/>
      <c r="D28" s="59"/>
      <c r="E28" s="58"/>
      <c r="F28" s="58"/>
      <c r="G28" s="59"/>
    </row>
    <row r="29" spans="1:7" ht="12">
      <c r="A29" s="60" t="s">
        <v>126</v>
      </c>
      <c r="B29" s="61"/>
      <c r="C29" s="61">
        <v>4300.97</v>
      </c>
      <c r="D29" s="59">
        <f t="shared" si="0"/>
        <v>-4300.97</v>
      </c>
      <c r="E29" s="58"/>
      <c r="F29" s="58">
        <v>9205.62000000002</v>
      </c>
      <c r="G29" s="59">
        <v>-9205.62000000002</v>
      </c>
    </row>
    <row r="30" spans="1:7" ht="12">
      <c r="A30" s="60" t="s">
        <v>89</v>
      </c>
      <c r="B30" s="61"/>
      <c r="C30" s="61"/>
      <c r="D30" s="59">
        <f t="shared" si="0"/>
        <v>0</v>
      </c>
      <c r="E30" s="58"/>
      <c r="F30" s="58"/>
      <c r="G30" s="59">
        <v>0</v>
      </c>
    </row>
    <row r="31" spans="1:7" ht="12">
      <c r="A31" s="60" t="s">
        <v>95</v>
      </c>
      <c r="B31" s="61"/>
      <c r="C31" s="61">
        <f>466.87+1878.6+1326.43+3371</f>
        <v>7042.9</v>
      </c>
      <c r="D31" s="59">
        <f t="shared" si="0"/>
        <v>-7042.9</v>
      </c>
      <c r="E31" s="58"/>
      <c r="F31" s="58">
        <v>16874.98</v>
      </c>
      <c r="G31" s="59">
        <v>-16874.98</v>
      </c>
    </row>
    <row r="32" spans="1:7" ht="12">
      <c r="A32" s="60" t="s">
        <v>170</v>
      </c>
      <c r="B32" s="61"/>
      <c r="C32" s="61">
        <v>547.79</v>
      </c>
      <c r="D32" s="59">
        <f t="shared" si="0"/>
        <v>-547.79</v>
      </c>
      <c r="E32" s="58"/>
      <c r="F32" s="58">
        <v>1200.49</v>
      </c>
      <c r="G32" s="59">
        <v>-1200.49</v>
      </c>
    </row>
    <row r="33" spans="1:7" ht="12">
      <c r="A33" s="60" t="s">
        <v>188</v>
      </c>
      <c r="B33" s="61"/>
      <c r="C33" s="61"/>
      <c r="D33" s="59">
        <f t="shared" si="0"/>
        <v>0</v>
      </c>
      <c r="E33" s="58"/>
      <c r="F33" s="58"/>
      <c r="G33" s="59">
        <v>0</v>
      </c>
    </row>
    <row r="34" spans="1:7" ht="24">
      <c r="A34" s="57" t="s">
        <v>183</v>
      </c>
      <c r="B34" s="125">
        <f>SUM(B29:B33)</f>
        <v>0</v>
      </c>
      <c r="C34" s="125">
        <f>SUM(C29:C33)</f>
        <v>11891.66</v>
      </c>
      <c r="D34" s="59">
        <f>SUM(D29:D33)</f>
        <v>-11891.66</v>
      </c>
      <c r="E34" s="59">
        <v>0</v>
      </c>
      <c r="F34" s="59">
        <v>27281.09</v>
      </c>
      <c r="G34" s="59">
        <v>-27281.09</v>
      </c>
    </row>
    <row r="35" spans="1:7" ht="24">
      <c r="A35" s="57" t="s">
        <v>90</v>
      </c>
      <c r="B35" s="59">
        <f>+B17+B27+B34</f>
        <v>7628443.050000001</v>
      </c>
      <c r="C35" s="59">
        <f>+C17+C27+C34</f>
        <v>8919653.11</v>
      </c>
      <c r="D35" s="59">
        <f>+D17+D27+D34</f>
        <v>-1291210.059999999</v>
      </c>
      <c r="E35" s="59">
        <v>16777100.999999998</v>
      </c>
      <c r="F35" s="59">
        <v>17847410.169999998</v>
      </c>
      <c r="G35" s="59">
        <v>-1070309.17</v>
      </c>
    </row>
    <row r="36" spans="1:7" ht="12">
      <c r="A36" s="57" t="s">
        <v>91</v>
      </c>
      <c r="B36" s="59"/>
      <c r="C36" s="59"/>
      <c r="D36" s="59">
        <f>+G37</f>
        <v>2884874.92</v>
      </c>
      <c r="E36" s="59"/>
      <c r="F36" s="59"/>
      <c r="G36" s="59">
        <v>3955184.09</v>
      </c>
    </row>
    <row r="37" spans="1:7" ht="12">
      <c r="A37" s="64" t="s">
        <v>101</v>
      </c>
      <c r="B37" s="59"/>
      <c r="C37" s="59"/>
      <c r="D37" s="59">
        <f>SUM(D35:D36)</f>
        <v>1593664.860000001</v>
      </c>
      <c r="E37" s="59"/>
      <c r="F37" s="59"/>
      <c r="G37" s="59">
        <v>2884874.92</v>
      </c>
    </row>
    <row r="38" spans="1:7" ht="12">
      <c r="A38" s="60" t="s">
        <v>102</v>
      </c>
      <c r="B38" s="58"/>
      <c r="C38" s="58"/>
      <c r="D38" s="58">
        <v>123613</v>
      </c>
      <c r="E38" s="58"/>
      <c r="F38" s="58"/>
      <c r="G38" s="58">
        <v>172039</v>
      </c>
    </row>
    <row r="39" spans="2:8" ht="12">
      <c r="B39" s="65"/>
      <c r="C39" s="65"/>
      <c r="D39" s="126"/>
      <c r="E39" s="65"/>
      <c r="F39" s="65"/>
      <c r="G39" s="65"/>
      <c r="H39" s="2"/>
    </row>
    <row r="40" spans="1:8" ht="12">
      <c r="A40" s="47" t="str">
        <f>'справка № 1-КИС-БАЛАНС'!A47</f>
        <v>Дата:22.07.2009г.</v>
      </c>
      <c r="B40" s="152" t="s">
        <v>99</v>
      </c>
      <c r="C40" s="152"/>
      <c r="D40" s="48"/>
      <c r="E40" s="152" t="s">
        <v>100</v>
      </c>
      <c r="F40" s="152"/>
      <c r="G40" s="48"/>
      <c r="H40" s="2"/>
    </row>
    <row r="41" spans="2:8" ht="15" customHeight="1">
      <c r="B41" s="145" t="str">
        <f>'справка № 1-КИС-БАЛАНС'!C48</f>
        <v>/Eлеонора Стоева/</v>
      </c>
      <c r="C41" s="145"/>
      <c r="D41" s="65"/>
      <c r="E41" s="65"/>
      <c r="F41" s="146" t="str">
        <f>'справка № 1-КИС-БАЛАНС'!D48</f>
        <v>/Радослав Гергов/</v>
      </c>
      <c r="G41" s="146"/>
      <c r="H41" s="2"/>
    </row>
    <row r="42" spans="2:8" ht="12">
      <c r="B42" s="65"/>
      <c r="C42" s="65"/>
      <c r="D42" s="65"/>
      <c r="E42" s="65"/>
      <c r="F42" s="65"/>
      <c r="G42" s="65"/>
      <c r="H42" s="2"/>
    </row>
    <row r="43" spans="2:8" ht="12">
      <c r="B43" s="65"/>
      <c r="C43" s="65"/>
      <c r="D43" s="65"/>
      <c r="E43" s="65"/>
      <c r="F43" s="65"/>
      <c r="G43" s="65"/>
      <c r="H43" s="2"/>
    </row>
    <row r="44" spans="2:8" ht="12">
      <c r="B44" s="65"/>
      <c r="C44" s="65"/>
      <c r="D44" s="65"/>
      <c r="E44" s="65"/>
      <c r="F44" s="65"/>
      <c r="G44" s="65"/>
      <c r="H44" s="2"/>
    </row>
    <row r="45" spans="2:8" ht="12">
      <c r="B45" s="65"/>
      <c r="C45" s="65"/>
      <c r="D45" s="65"/>
      <c r="E45" s="65"/>
      <c r="F45" s="65"/>
      <c r="G45" s="65"/>
      <c r="H45" s="2"/>
    </row>
    <row r="46" spans="2:8" ht="12">
      <c r="B46" s="31"/>
      <c r="C46" s="31"/>
      <c r="D46" s="31"/>
      <c r="E46" s="31"/>
      <c r="F46" s="31"/>
      <c r="G46" s="31"/>
      <c r="H46" s="2"/>
    </row>
    <row r="47" spans="2:7" ht="12">
      <c r="B47" s="48"/>
      <c r="C47" s="48"/>
      <c r="D47" s="48"/>
      <c r="E47" s="48"/>
      <c r="F47" s="48"/>
      <c r="G47" s="48"/>
    </row>
    <row r="48" spans="2:7" ht="12">
      <c r="B48" s="48"/>
      <c r="C48" s="48"/>
      <c r="D48" s="48"/>
      <c r="E48" s="48"/>
      <c r="F48" s="48"/>
      <c r="G48" s="48"/>
    </row>
  </sheetData>
  <mergeCells count="10">
    <mergeCell ref="B41:C41"/>
    <mergeCell ref="F41:G41"/>
    <mergeCell ref="E1:F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3937007874015748" bottom="0.31496062992125984" header="0.1968503937007874" footer="0.03937007874015748"/>
  <pageSetup fitToHeight="1" fitToWidth="1"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22">
      <selection activeCell="F45" sqref="F45"/>
    </sheetView>
  </sheetViews>
  <sheetFormatPr defaultColWidth="9.140625" defaultRowHeight="12.75"/>
  <cols>
    <col min="1" max="1" width="25.421875" style="66" customWidth="1"/>
    <col min="2" max="2" width="10.28125" style="77" customWidth="1"/>
    <col min="3" max="3" width="10.7109375" style="77" customWidth="1"/>
    <col min="4" max="4" width="10.140625" style="77" customWidth="1"/>
    <col min="5" max="5" width="12.140625" style="77" customWidth="1"/>
    <col min="6" max="6" width="9.8515625" style="77" customWidth="1"/>
    <col min="7" max="7" width="13.421875" style="77" customWidth="1"/>
    <col min="8" max="8" width="12.00390625" style="77" customWidth="1"/>
    <col min="9" max="16384" width="9.140625" style="3" customWidth="1"/>
  </cols>
  <sheetData>
    <row r="1" spans="6:8" ht="12">
      <c r="F1" s="97"/>
      <c r="G1" s="97" t="s">
        <v>171</v>
      </c>
      <c r="H1" s="97"/>
    </row>
    <row r="3" spans="1:8" ht="19.5" customHeight="1">
      <c r="A3" s="155" t="s">
        <v>56</v>
      </c>
      <c r="B3" s="155"/>
      <c r="C3" s="155"/>
      <c r="D3" s="155"/>
      <c r="E3" s="155"/>
      <c r="F3" s="155"/>
      <c r="G3" s="155"/>
      <c r="H3" s="155"/>
    </row>
    <row r="4" spans="1:8" ht="12">
      <c r="A4" s="6"/>
      <c r="B4" s="98"/>
      <c r="C4" s="98"/>
      <c r="D4" s="98"/>
      <c r="E4" s="98"/>
      <c r="F4" s="98"/>
      <c r="G4" s="98"/>
      <c r="H4" s="99"/>
    </row>
    <row r="5" spans="1:8" ht="14.25" customHeight="1">
      <c r="A5" s="134" t="str">
        <f>'справка № 1-КИС-БАЛАНС'!A3:C3</f>
        <v>Наименование на ИД:ТИ БИ АЙ ЕВРОБОНД АД</v>
      </c>
      <c r="B5" s="134"/>
      <c r="C5" s="134"/>
      <c r="D5" s="100"/>
      <c r="E5" s="100"/>
      <c r="F5" s="133" t="str">
        <f>'справка № 1-КИС-БАЛАНС'!D3</f>
        <v>ЕИК по БУЛСТАТ: 131116580</v>
      </c>
      <c r="G5" s="133"/>
      <c r="H5" s="133"/>
    </row>
    <row r="6" spans="1:8" ht="12">
      <c r="A6" s="134" t="str">
        <f>'справка № 1-КИС-БАЛАНС'!A4</f>
        <v>Отчетен период: 30.06.2009г.</v>
      </c>
      <c r="B6" s="134"/>
      <c r="C6" s="100"/>
      <c r="D6" s="100"/>
      <c r="E6" s="101"/>
      <c r="F6" s="101"/>
      <c r="G6" s="101"/>
      <c r="H6" s="102"/>
    </row>
    <row r="7" spans="1:8" ht="12">
      <c r="A7" s="7"/>
      <c r="B7" s="100"/>
      <c r="C7" s="100"/>
      <c r="D7" s="100"/>
      <c r="E7" s="101"/>
      <c r="F7" s="101"/>
      <c r="G7" s="101"/>
      <c r="H7" s="102"/>
    </row>
    <row r="8" spans="1:8" ht="12">
      <c r="A8" s="8"/>
      <c r="B8" s="103"/>
      <c r="C8" s="103"/>
      <c r="D8" s="103"/>
      <c r="E8" s="104"/>
      <c r="F8" s="104"/>
      <c r="G8" s="104"/>
      <c r="H8" s="105" t="s">
        <v>57</v>
      </c>
    </row>
    <row r="9" spans="1:8" ht="32.25" customHeight="1">
      <c r="A9" s="135" t="s">
        <v>58</v>
      </c>
      <c r="B9" s="158" t="s">
        <v>62</v>
      </c>
      <c r="C9" s="156" t="s">
        <v>59</v>
      </c>
      <c r="D9" s="132"/>
      <c r="E9" s="132"/>
      <c r="F9" s="156" t="s">
        <v>60</v>
      </c>
      <c r="G9" s="157"/>
      <c r="H9" s="158" t="s">
        <v>61</v>
      </c>
    </row>
    <row r="10" spans="1:8" ht="12.75" customHeight="1">
      <c r="A10" s="129"/>
      <c r="B10" s="163"/>
      <c r="C10" s="161" t="s">
        <v>63</v>
      </c>
      <c r="D10" s="158" t="s">
        <v>64</v>
      </c>
      <c r="E10" s="158" t="s">
        <v>128</v>
      </c>
      <c r="F10" s="158" t="s">
        <v>65</v>
      </c>
      <c r="G10" s="158" t="s">
        <v>66</v>
      </c>
      <c r="H10" s="159"/>
    </row>
    <row r="11" spans="1:8" ht="60" customHeight="1">
      <c r="A11" s="130"/>
      <c r="B11" s="131"/>
      <c r="C11" s="162"/>
      <c r="D11" s="131"/>
      <c r="E11" s="160"/>
      <c r="F11" s="160"/>
      <c r="G11" s="160"/>
      <c r="H11" s="160"/>
    </row>
    <row r="12" spans="1:8" s="25" customFormat="1" ht="12">
      <c r="A12" s="67" t="s">
        <v>6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</row>
    <row r="13" spans="1:8" s="25" customFormat="1" ht="24">
      <c r="A13" s="68" t="s">
        <v>108</v>
      </c>
      <c r="B13" s="110">
        <v>10461000</v>
      </c>
      <c r="C13" s="110">
        <v>582343</v>
      </c>
      <c r="D13" s="110"/>
      <c r="E13" s="110"/>
      <c r="F13" s="110">
        <v>3730460</v>
      </c>
      <c r="G13" s="110"/>
      <c r="H13" s="110">
        <f>SUM(B13:F13)-G13</f>
        <v>14773803</v>
      </c>
    </row>
    <row r="14" spans="1:8" s="25" customFormat="1" ht="24">
      <c r="A14" s="68" t="s">
        <v>109</v>
      </c>
      <c r="B14" s="110">
        <v>10461000</v>
      </c>
      <c r="C14" s="110">
        <v>582343</v>
      </c>
      <c r="D14" s="110"/>
      <c r="E14" s="110"/>
      <c r="F14" s="110">
        <v>3730460</v>
      </c>
      <c r="G14" s="110"/>
      <c r="H14" s="110">
        <f>SUM(B14:F14)-G14</f>
        <v>14773803</v>
      </c>
    </row>
    <row r="15" spans="1:8" s="25" customFormat="1" ht="24">
      <c r="A15" s="68" t="s">
        <v>67</v>
      </c>
      <c r="B15" s="110">
        <v>7761600</v>
      </c>
      <c r="C15" s="110">
        <v>-599783.97</v>
      </c>
      <c r="D15" s="110">
        <v>0</v>
      </c>
      <c r="E15" s="110">
        <v>0</v>
      </c>
      <c r="F15" s="110">
        <v>4395407</v>
      </c>
      <c r="G15" s="110"/>
      <c r="H15" s="110">
        <f>SUM(B15:F15)-G15</f>
        <v>11557223.030000001</v>
      </c>
    </row>
    <row r="16" spans="1:8" s="25" customFormat="1" ht="24">
      <c r="A16" s="68" t="s">
        <v>68</v>
      </c>
      <c r="B16" s="111">
        <f aca="true" t="shared" si="0" ref="B16:G16">SUM(B17:B18)</f>
        <v>0</v>
      </c>
      <c r="C16" s="111">
        <f t="shared" si="0"/>
        <v>0</v>
      </c>
      <c r="D16" s="111">
        <f t="shared" si="0"/>
        <v>0</v>
      </c>
      <c r="E16" s="111">
        <f t="shared" si="0"/>
        <v>0</v>
      </c>
      <c r="F16" s="111">
        <f t="shared" si="0"/>
        <v>0</v>
      </c>
      <c r="G16" s="111">
        <f t="shared" si="0"/>
        <v>0</v>
      </c>
      <c r="H16" s="110">
        <f>+H17+H18</f>
        <v>0</v>
      </c>
    </row>
    <row r="17" spans="1:8" ht="24">
      <c r="A17" s="69" t="s">
        <v>69</v>
      </c>
      <c r="B17" s="112"/>
      <c r="C17" s="112"/>
      <c r="D17" s="112"/>
      <c r="E17" s="112"/>
      <c r="F17" s="112"/>
      <c r="G17" s="112"/>
      <c r="H17" s="110">
        <f>SUM(B17:F17)-G17</f>
        <v>0</v>
      </c>
    </row>
    <row r="18" spans="1:8" ht="12">
      <c r="A18" s="69" t="s">
        <v>70</v>
      </c>
      <c r="B18" s="113"/>
      <c r="C18" s="113"/>
      <c r="D18" s="113"/>
      <c r="E18" s="113"/>
      <c r="F18" s="113"/>
      <c r="G18" s="113"/>
      <c r="H18" s="110">
        <f>SUM(B18:F18)-G18</f>
        <v>0</v>
      </c>
    </row>
    <row r="19" spans="1:8" ht="24">
      <c r="A19" s="68" t="s">
        <v>71</v>
      </c>
      <c r="B19" s="113"/>
      <c r="C19" s="113"/>
      <c r="D19" s="113"/>
      <c r="E19" s="113"/>
      <c r="F19" s="113"/>
      <c r="G19" s="113"/>
      <c r="H19" s="110">
        <f>SUM(B19:F19)-G19</f>
        <v>0</v>
      </c>
    </row>
    <row r="20" spans="1:8" ht="34.5" customHeight="1">
      <c r="A20" s="68" t="s">
        <v>172</v>
      </c>
      <c r="B20" s="111">
        <f aca="true" t="shared" si="1" ref="B20:H20">+B21-B22</f>
        <v>-3383200</v>
      </c>
      <c r="C20" s="111">
        <f t="shared" si="1"/>
        <v>-1689402.67</v>
      </c>
      <c r="D20" s="111">
        <f t="shared" si="1"/>
        <v>0</v>
      </c>
      <c r="E20" s="111">
        <f t="shared" si="1"/>
        <v>0</v>
      </c>
      <c r="F20" s="111">
        <f t="shared" si="1"/>
        <v>0</v>
      </c>
      <c r="G20" s="111">
        <f t="shared" si="1"/>
        <v>0</v>
      </c>
      <c r="H20" s="110">
        <f t="shared" si="1"/>
        <v>-5072602.67</v>
      </c>
    </row>
    <row r="21" spans="1:8" ht="12">
      <c r="A21" s="69" t="s">
        <v>129</v>
      </c>
      <c r="B21" s="112">
        <v>143800</v>
      </c>
      <c r="C21" s="112">
        <v>103266.49</v>
      </c>
      <c r="D21" s="112"/>
      <c r="E21" s="112"/>
      <c r="F21" s="112"/>
      <c r="G21" s="112"/>
      <c r="H21" s="110">
        <f aca="true" t="shared" si="2" ref="H21:H36">SUM(B21:F21)-G21</f>
        <v>247066.49</v>
      </c>
    </row>
    <row r="22" spans="1:8" ht="12">
      <c r="A22" s="69" t="s">
        <v>130</v>
      </c>
      <c r="B22" s="112">
        <v>3527000</v>
      </c>
      <c r="C22" s="112">
        <v>1792669.16</v>
      </c>
      <c r="D22" s="112"/>
      <c r="E22" s="112"/>
      <c r="F22" s="112"/>
      <c r="G22" s="112"/>
      <c r="H22" s="110">
        <f t="shared" si="2"/>
        <v>5319669.16</v>
      </c>
    </row>
    <row r="23" spans="1:8" ht="24">
      <c r="A23" s="68" t="s">
        <v>72</v>
      </c>
      <c r="B23" s="112"/>
      <c r="C23" s="112"/>
      <c r="D23" s="112"/>
      <c r="E23" s="112"/>
      <c r="F23" s="112">
        <v>176231.5</v>
      </c>
      <c r="G23" s="112"/>
      <c r="H23" s="110">
        <f t="shared" si="2"/>
        <v>176231.5</v>
      </c>
    </row>
    <row r="24" spans="1:8" ht="12">
      <c r="A24" s="69" t="s">
        <v>73</v>
      </c>
      <c r="B24" s="114">
        <f aca="true" t="shared" si="3" ref="B24:G24">SUM(B25:B26)</f>
        <v>0</v>
      </c>
      <c r="C24" s="114">
        <f t="shared" si="3"/>
        <v>0</v>
      </c>
      <c r="D24" s="114">
        <f t="shared" si="3"/>
        <v>0</v>
      </c>
      <c r="E24" s="114">
        <f t="shared" si="3"/>
        <v>0</v>
      </c>
      <c r="F24" s="114">
        <f t="shared" si="3"/>
        <v>0</v>
      </c>
      <c r="G24" s="114">
        <f t="shared" si="3"/>
        <v>0</v>
      </c>
      <c r="H24" s="110">
        <f t="shared" si="2"/>
        <v>0</v>
      </c>
    </row>
    <row r="25" spans="1:8" ht="12">
      <c r="A25" s="69" t="s">
        <v>74</v>
      </c>
      <c r="B25" s="112"/>
      <c r="C25" s="112"/>
      <c r="D25" s="112"/>
      <c r="E25" s="112"/>
      <c r="F25" s="112"/>
      <c r="G25" s="112"/>
      <c r="H25" s="110">
        <f t="shared" si="2"/>
        <v>0</v>
      </c>
    </row>
    <row r="26" spans="1:8" ht="12">
      <c r="A26" s="69" t="s">
        <v>75</v>
      </c>
      <c r="B26" s="113"/>
      <c r="C26" s="113"/>
      <c r="D26" s="113"/>
      <c r="E26" s="113"/>
      <c r="F26" s="113"/>
      <c r="G26" s="113"/>
      <c r="H26" s="110">
        <f t="shared" si="2"/>
        <v>0</v>
      </c>
    </row>
    <row r="27" spans="1:8" ht="12">
      <c r="A27" s="69" t="s">
        <v>76</v>
      </c>
      <c r="B27" s="113"/>
      <c r="C27" s="113"/>
      <c r="D27" s="113"/>
      <c r="E27" s="113"/>
      <c r="F27" s="113"/>
      <c r="G27" s="113"/>
      <c r="H27" s="110">
        <f t="shared" si="2"/>
        <v>0</v>
      </c>
    </row>
    <row r="28" spans="1:8" ht="36">
      <c r="A28" s="69" t="s">
        <v>173</v>
      </c>
      <c r="B28" s="114">
        <f aca="true" t="shared" si="4" ref="B28:G28">SUM(B29:B30)</f>
        <v>0</v>
      </c>
      <c r="C28" s="114">
        <f t="shared" si="4"/>
        <v>0</v>
      </c>
      <c r="D28" s="114">
        <f t="shared" si="4"/>
        <v>0</v>
      </c>
      <c r="E28" s="114">
        <f t="shared" si="4"/>
        <v>0</v>
      </c>
      <c r="F28" s="114">
        <f t="shared" si="4"/>
        <v>0</v>
      </c>
      <c r="G28" s="114">
        <f t="shared" si="4"/>
        <v>0</v>
      </c>
      <c r="H28" s="110">
        <f t="shared" si="2"/>
        <v>0</v>
      </c>
    </row>
    <row r="29" spans="1:8" ht="12">
      <c r="A29" s="69" t="s">
        <v>77</v>
      </c>
      <c r="B29" s="112"/>
      <c r="C29" s="112"/>
      <c r="D29" s="112"/>
      <c r="E29" s="112"/>
      <c r="F29" s="112"/>
      <c r="G29" s="112"/>
      <c r="H29" s="110">
        <f t="shared" si="2"/>
        <v>0</v>
      </c>
    </row>
    <row r="30" spans="1:8" ht="12">
      <c r="A30" s="69" t="s">
        <v>78</v>
      </c>
      <c r="B30" s="113"/>
      <c r="C30" s="113"/>
      <c r="D30" s="113"/>
      <c r="E30" s="113"/>
      <c r="F30" s="113"/>
      <c r="G30" s="113"/>
      <c r="H30" s="110">
        <f t="shared" si="2"/>
        <v>0</v>
      </c>
    </row>
    <row r="31" spans="1:8" ht="36">
      <c r="A31" s="69" t="s">
        <v>174</v>
      </c>
      <c r="B31" s="114">
        <f aca="true" t="shared" si="5" ref="B31:G31">SUM(B32:B33)</f>
        <v>0</v>
      </c>
      <c r="C31" s="114">
        <f t="shared" si="5"/>
        <v>0</v>
      </c>
      <c r="D31" s="114">
        <f t="shared" si="5"/>
        <v>0</v>
      </c>
      <c r="E31" s="114">
        <f t="shared" si="5"/>
        <v>0</v>
      </c>
      <c r="F31" s="114">
        <f t="shared" si="5"/>
        <v>0</v>
      </c>
      <c r="G31" s="114">
        <f t="shared" si="5"/>
        <v>0</v>
      </c>
      <c r="H31" s="110">
        <f t="shared" si="2"/>
        <v>0</v>
      </c>
    </row>
    <row r="32" spans="1:8" ht="12">
      <c r="A32" s="69" t="s">
        <v>77</v>
      </c>
      <c r="B32" s="112"/>
      <c r="C32" s="112"/>
      <c r="D32" s="112"/>
      <c r="E32" s="112"/>
      <c r="F32" s="112"/>
      <c r="G32" s="112"/>
      <c r="H32" s="110">
        <f t="shared" si="2"/>
        <v>0</v>
      </c>
    </row>
    <row r="33" spans="1:8" ht="12">
      <c r="A33" s="69" t="s">
        <v>78</v>
      </c>
      <c r="B33" s="113"/>
      <c r="C33" s="113"/>
      <c r="D33" s="113"/>
      <c r="E33" s="113"/>
      <c r="F33" s="113"/>
      <c r="G33" s="113"/>
      <c r="H33" s="110">
        <f t="shared" si="2"/>
        <v>0</v>
      </c>
    </row>
    <row r="34" spans="1:8" ht="12">
      <c r="A34" s="69" t="s">
        <v>131</v>
      </c>
      <c r="B34" s="113"/>
      <c r="C34" s="113"/>
      <c r="D34" s="113"/>
      <c r="E34" s="113"/>
      <c r="F34" s="113"/>
      <c r="G34" s="113"/>
      <c r="H34" s="110">
        <f t="shared" si="2"/>
        <v>0</v>
      </c>
    </row>
    <row r="35" spans="1:8" ht="24">
      <c r="A35" s="68" t="s">
        <v>79</v>
      </c>
      <c r="B35" s="114">
        <f aca="true" t="shared" si="6" ref="B35:G35">+B15+B16+B19+B20+B23+B24+B27+B28+B31+B34</f>
        <v>4378400</v>
      </c>
      <c r="C35" s="114">
        <f t="shared" si="6"/>
        <v>-2289186.6399999997</v>
      </c>
      <c r="D35" s="114">
        <f t="shared" si="6"/>
        <v>0</v>
      </c>
      <c r="E35" s="114">
        <f t="shared" si="6"/>
        <v>0</v>
      </c>
      <c r="F35" s="114">
        <f t="shared" si="6"/>
        <v>4571638.5</v>
      </c>
      <c r="G35" s="114">
        <f t="shared" si="6"/>
        <v>0</v>
      </c>
      <c r="H35" s="110">
        <f t="shared" si="2"/>
        <v>6660851.86</v>
      </c>
    </row>
    <row r="36" spans="1:8" ht="14.25" customHeight="1">
      <c r="A36" s="69" t="s">
        <v>138</v>
      </c>
      <c r="B36" s="112"/>
      <c r="C36" s="112"/>
      <c r="D36" s="112"/>
      <c r="E36" s="112"/>
      <c r="F36" s="112"/>
      <c r="G36" s="112"/>
      <c r="H36" s="110">
        <f t="shared" si="2"/>
        <v>0</v>
      </c>
    </row>
    <row r="37" spans="1:8" ht="24">
      <c r="A37" s="70" t="s">
        <v>80</v>
      </c>
      <c r="B37" s="114">
        <f>+B35</f>
        <v>4378400</v>
      </c>
      <c r="C37" s="114">
        <f aca="true" t="shared" si="7" ref="C37:H37">+C35</f>
        <v>-2289186.6399999997</v>
      </c>
      <c r="D37" s="114">
        <f t="shared" si="7"/>
        <v>0</v>
      </c>
      <c r="E37" s="114">
        <f t="shared" si="7"/>
        <v>0</v>
      </c>
      <c r="F37" s="114">
        <f t="shared" si="7"/>
        <v>4571638.5</v>
      </c>
      <c r="G37" s="114">
        <f t="shared" si="7"/>
        <v>0</v>
      </c>
      <c r="H37" s="114">
        <f t="shared" si="7"/>
        <v>6660851.86</v>
      </c>
    </row>
    <row r="39" spans="1:8" ht="21" customHeight="1">
      <c r="A39" s="71" t="str">
        <f>'справка № 1-КИС-БАЛАНС'!A47</f>
        <v>Дата:22.07.2009г.</v>
      </c>
      <c r="B39" s="106"/>
      <c r="C39" s="106"/>
      <c r="D39" s="107" t="s">
        <v>81</v>
      </c>
      <c r="E39" s="108"/>
      <c r="F39" s="108"/>
      <c r="G39" s="107" t="s">
        <v>175</v>
      </c>
      <c r="H39" s="109"/>
    </row>
    <row r="40" spans="5:9" ht="21" customHeight="1">
      <c r="E40" s="77" t="str">
        <f>'справка № 1-КИС-БАЛАНС'!C48</f>
        <v>/Eлеонора Стоева/</v>
      </c>
      <c r="H40" s="77" t="str">
        <f>'справка № 1-КИС-БАЛАНС'!D48</f>
        <v>/Радослав Гергов/</v>
      </c>
      <c r="I40" s="2"/>
    </row>
    <row r="41" spans="2:9" ht="12">
      <c r="B41" s="72"/>
      <c r="C41" s="72"/>
      <c r="D41" s="72"/>
      <c r="E41" s="72"/>
      <c r="F41" s="72"/>
      <c r="G41" s="72"/>
      <c r="H41" s="72"/>
      <c r="I41" s="2"/>
    </row>
    <row r="42" spans="1:8" ht="12">
      <c r="A42" s="73"/>
      <c r="B42" s="74"/>
      <c r="C42" s="74"/>
      <c r="D42" s="74"/>
      <c r="E42" s="74"/>
      <c r="F42" s="74"/>
      <c r="G42" s="74"/>
      <c r="H42" s="74"/>
    </row>
    <row r="43" spans="1:8" ht="12">
      <c r="A43" s="73"/>
      <c r="B43" s="74"/>
      <c r="C43" s="74"/>
      <c r="D43" s="74"/>
      <c r="E43" s="74"/>
      <c r="F43" s="74"/>
      <c r="G43" s="74"/>
      <c r="H43" s="74"/>
    </row>
    <row r="44" ht="15" customHeight="1"/>
  </sheetData>
  <mergeCells count="14">
    <mergeCell ref="E10:E11"/>
    <mergeCell ref="A6:B6"/>
    <mergeCell ref="A5:C5"/>
    <mergeCell ref="A9:A11"/>
    <mergeCell ref="A3:H3"/>
    <mergeCell ref="F9:G9"/>
    <mergeCell ref="H9:H11"/>
    <mergeCell ref="F10:F11"/>
    <mergeCell ref="C10:C11"/>
    <mergeCell ref="G10:G11"/>
    <mergeCell ref="B9:B11"/>
    <mergeCell ref="C9:E9"/>
    <mergeCell ref="D10:D11"/>
    <mergeCell ref="F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26:G28 B35:G35 B37:H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Eli</cp:lastModifiedBy>
  <cp:lastPrinted>2009-07-29T13:57:51Z</cp:lastPrinted>
  <dcterms:created xsi:type="dcterms:W3CDTF">2004-03-04T10:58:58Z</dcterms:created>
  <dcterms:modified xsi:type="dcterms:W3CDTF">2009-07-30T07:50:43Z</dcterms:modified>
  <cp:category/>
  <cp:version/>
  <cp:contentType/>
  <cp:contentStatus/>
</cp:coreProperties>
</file>