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<sst xmlns="http://schemas.openxmlformats.org/spreadsheetml/2006/main" count="1067" uniqueCount="893">
  <si>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</si>
  <si>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</si>
  <si>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</si>
  <si>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</si>
  <si>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</si>
  <si>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</si>
  <si>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</si>
  <si>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</si>
  <si>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</si>
  <si>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</si>
  <si>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</si>
  <si>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</si>
  <si>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</si>
  <si>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</si>
  <si>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</si>
  <si>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</si>
  <si>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</si>
  <si>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</si>
  <si>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</si>
  <si>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</si>
  <si>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</si>
  <si>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</si>
  <si>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</si>
  <si>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</si>
  <si>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</si>
  <si>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</si>
  <si>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</si>
  <si>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</si>
  <si>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</si>
  <si>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</si>
  <si>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</si>
  <si>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</si>
  <si>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</si>
  <si>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</si>
  <si>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</si>
  <si>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</si>
  <si>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</si>
  <si>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</si>
  <si>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</si>
  <si>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</si>
  <si>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</si>
  <si>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</si>
  <si>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</si>
  <si>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</si>
  <si>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</si>
  <si>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</si>
  <si>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</si>
  <si>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</si>
  <si>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</si>
  <si>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</si>
  <si>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</si>
  <si>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</si>
  <si>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</si>
  <si>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</si>
  <si>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</si>
  <si>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</si>
  <si>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</si>
  <si>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</si>
  <si>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</si>
  <si>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</si>
  <si>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</si>
  <si>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</si>
  <si>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</si>
  <si>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</si>
  <si>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</si>
  <si>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</si>
  <si>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</si>
  <si>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</si>
  <si>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</si>
  <si>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</si>
  <si>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</si>
  <si>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</si>
  <si>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</si>
  <si>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</si>
  <si>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</si>
  <si>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</si>
  <si>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</si>
  <si>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</si>
  <si>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</si>
  <si>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</si>
  <si>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</si>
  <si>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</si>
  <si>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</si>
  <si>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</si>
  <si>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</si>
  <si>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</si>
  <si>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</si>
  <si>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</si>
  <si>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</si>
  <si>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</si>
  <si>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</si>
  <si>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</si>
  <si>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</si>
  <si>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</si>
  <si>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</si>
  <si>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</si>
  <si>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</si>
  <si>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</si>
  <si>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</si>
  <si>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</si>
  <si>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</si>
  <si>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</si>
  <si>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</si>
  <si>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</si>
  <si>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</si>
  <si>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</si>
  <si>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</si>
  <si>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</si>
  <si>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</si>
  <si>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</si>
  <si>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</si>
  <si>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</si>
  <si>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</si>
  <si>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</si>
  <si>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</si>
  <si>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</si>
  <si>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</si>
  <si>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</si>
  <si>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</si>
  <si>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</si>
  <si>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</si>
  <si>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</si>
  <si>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</si>
  <si>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</si>
  <si>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</si>
  <si>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</si>
  <si>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</si>
  <si>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</si>
  <si>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</si>
  <si>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</si>
  <si>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</si>
  <si>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</si>
  <si>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</si>
  <si>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</si>
  <si>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</si>
  <si>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</si>
  <si>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</si>
  <si>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</si>
  <si>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</si>
  <si>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</si>
  <si>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</si>
  <si>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</si>
  <si>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</si>
  <si>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</si>
  <si>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</si>
  <si>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</si>
  <si>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</si>
  <si>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</si>
  <si>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</si>
  <si>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</si>
  <si>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</si>
  <si>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</si>
  <si>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</si>
  <si>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</si>
  <si>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</si>
  <si>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</si>
  <si>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</si>
  <si>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</si>
  <si>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</si>
  <si>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</si>
  <si>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</si>
  <si>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</si>
  <si>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</si>
  <si>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</si>
  <si>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</si>
  <si>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</si>
  <si>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</si>
  <si>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</si>
  <si>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</si>
  <si>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</si>
  <si>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</si>
  <si>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</si>
  <si>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</si>
  <si>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</si>
  <si>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</si>
  <si>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</si>
  <si>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</si>
  <si>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</si>
  <si>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</si>
  <si>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</si>
  <si>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</si>
  <si>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</si>
  <si>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</si>
  <si>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</si>
  <si>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</si>
  <si>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</si>
  <si>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</si>
  <si>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</si>
  <si>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</si>
  <si>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</si>
  <si>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</si>
  <si>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</si>
  <si>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</si>
  <si>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</si>
  <si>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</si>
  <si>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</si>
  <si>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</si>
  <si>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</si>
  <si>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</si>
  <si>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</si>
  <si>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</si>
  <si>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</si>
  <si>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</si>
  <si>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</si>
  <si>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</si>
  <si>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</si>
  <si>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</si>
  <si>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</si>
  <si>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</si>
  <si>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</si>
  <si>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</si>
  <si>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</si>
  <si>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</si>
  <si>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</si>
  <si>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</si>
  <si>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</si>
  <si>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</si>
  <si>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</si>
  <si>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</si>
  <si>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</si>
  <si>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</si>
  <si>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</si>
  <si>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</si>
  <si>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</si>
  <si>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</si>
  <si>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</si>
  <si>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</si>
  <si>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</si>
  <si>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</si>
  <si>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</si>
  <si>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</si>
  <si>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</si>
  <si>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</si>
  <si>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</si>
  <si>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</si>
  <si>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</si>
  <si>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</si>
  <si>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</si>
  <si>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</si>
  <si>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</si>
  <si>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</si>
  <si>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</si>
  <si>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</si>
  <si>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</si>
  <si>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</si>
  <si>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</si>
  <si>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</si>
  <si>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</si>
  <si>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</si>
  <si>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</si>
  <si>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</si>
  <si>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</si>
  <si>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</si>
  <si>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</si>
  <si>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</si>
  <si>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</si>
  <si>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</si>
  <si>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</si>
  <si>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</si>
  <si>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</si>
  <si>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</si>
  <si>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</si>
  <si>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</si>
  <si>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</si>
  <si>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</si>
  <si>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</si>
  <si>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</si>
  <si>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</si>
  <si>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</si>
  <si>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</si>
  <si>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</si>
  <si>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</si>
  <si>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</si>
  <si>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</si>
  <si>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</si>
  <si>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</si>
  <si>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</si>
  <si>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</si>
  <si>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</si>
  <si>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</si>
  <si>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</si>
  <si>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</si>
  <si>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</si>
  <si>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</si>
  <si>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</si>
  <si>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</si>
  <si>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</si>
  <si>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</si>
  <si>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</si>
  <si>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</si>
  <si>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</si>
  <si>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</si>
  <si>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</si>
  <si>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</si>
  <si>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</si>
  <si>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</si>
  <si>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</si>
  <si>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</si>
  <si>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</si>
  <si>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</si>
  <si>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</si>
  <si>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</si>
  <si>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</si>
  <si>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</si>
  <si>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</si>
  <si>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</si>
  <si>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</si>
  <si>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</si>
  <si>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</si>
  <si>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</si>
  <si>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</si>
  <si>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</si>
  <si>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</si>
  <si>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</si>
  <si>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</si>
  <si>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</si>
  <si>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</si>
  <si>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</si>
  <si>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</si>
  <si>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</si>
  <si>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</si>
  <si>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</si>
  <si>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</si>
  <si>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</si>
  <si>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</si>
  <si>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</si>
  <si>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</si>
  <si>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</si>
  <si>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</si>
  <si>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</si>
  <si>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</si>
  <si>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</si>
  <si>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</si>
  <si>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</si>
  <si>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</si>
  <si>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</si>
  <si>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</si>
  <si>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</si>
  <si>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</si>
  <si>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</si>
  <si>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</si>
  <si>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</si>
  <si>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</si>
  <si>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</si>
  <si>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</si>
  <si>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</si>
  <si>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</si>
  <si>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</si>
  <si>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</si>
  <si>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</si>
  <si>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</si>
  <si>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</si>
  <si>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</si>
  <si>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</si>
  <si>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</si>
  <si>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</si>
  <si>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</si>
  <si>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</si>
  <si>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</si>
  <si>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</si>
  <si>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</si>
  <si>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</si>
  <si>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</si>
  <si>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</si>
  <si>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</si>
  <si>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</si>
  <si>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</si>
  <si>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</si>
  <si>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</si>
  <si>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</si>
  <si>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</si>
  <si>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</si>
  <si>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</si>
  <si>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</si>
  <si>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</si>
  <si>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</si>
  <si>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</si>
  <si>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</si>
  <si>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</si>
  <si>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</si>
  <si>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</si>
  <si>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</si>
  <si>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</si>
  <si>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</si>
  <si>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</si>
  <si>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</si>
  <si>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</si>
  <si>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</si>
  <si>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</si>
  <si>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</si>
  <si>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</si>
  <si>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</si>
  <si>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</si>
  <si>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</si>
  <si>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</si>
  <si>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</si>
  <si>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</si>
  <si>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</si>
  <si>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</si>
  <si>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</si>
  <si>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</si>
  <si>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</si>
  <si>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</si>
  <si>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</si>
  <si>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</si>
  <si>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</si>
  <si>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</si>
  <si>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</si>
  <si>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</si>
  <si>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</si>
  <si>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</si>
  <si>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</si>
  <si>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</si>
  <si>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</si>
  <si>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</si>
  <si>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</si>
  <si>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</si>
  <si>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</si>
  <si>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</si>
  <si>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</si>
  <si>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</si>
  <si>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</si>
  <si>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</si>
  <si>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</si>
  <si>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</si>
  <si>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</si>
  <si>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</si>
  <si>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</si>
  <si>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</si>
  <si>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</si>
  <si>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</si>
  <si>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</si>
  <si>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</si>
  <si>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</si>
  <si>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</si>
  <si>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</si>
  <si>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</si>
  <si>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</si>
  <si>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</si>
  <si>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</si>
  <si>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</si>
  <si>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</si>
  <si>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</si>
  <si>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</si>
  <si>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</si>
  <si>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</si>
  <si>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</si>
  <si>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</si>
  <si>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</si>
  <si>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</si>
  <si>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</si>
  <si>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</si>
  <si>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</si>
  <si>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</si>
  <si>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</si>
  <si>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</si>
  <si>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</si>
  <si>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</si>
  <si>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</si>
  <si>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</si>
  <si>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</si>
  <si>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</si>
  <si>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</si>
  <si>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</si>
  <si>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</si>
  <si>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</si>
  <si>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</si>
  <si>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</si>
  <si>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</si>
  <si>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</si>
  <si>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</si>
  <si>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</si>
  <si>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</si>
  <si>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</si>
  <si>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</si>
  <si>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</si>
  <si>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</si>
  <si>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</si>
  <si>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</si>
  <si>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</si>
  <si>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</si>
  <si>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</si>
  <si>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</si>
  <si>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</si>
  <si>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</si>
  <si>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</si>
  <si>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</si>
  <si>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</si>
  <si>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</si>
  <si>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</si>
  <si>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</si>
  <si>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</si>
  <si>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</si>
  <si>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</si>
  <si>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</si>
  <si>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</si>
  <si>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</si>
  <si>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</si>
  <si>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</si>
  <si>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</si>
  <si>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</si>
  <si>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</si>
  <si>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</si>
  <si>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</si>
  <si>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</si>
  <si>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</si>
  <si>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</si>
  <si>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</si>
  <si>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</si>
  <si>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</si>
  <si>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</si>
  <si>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</si>
  <si>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</si>
  <si>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</si>
  <si>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</si>
  <si>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</si>
  <si>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</si>
  <si>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</si>
  <si>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</si>
  <si>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</si>
  <si>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</si>
  <si>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</si>
  <si>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</si>
  <si>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</si>
  <si>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</si>
  <si>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</si>
  <si>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</si>
  <si>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</si>
  <si>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</si>
  <si>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</si>
  <si>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</si>
  <si>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</si>
  <si>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</si>
  <si>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</si>
  <si>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</si>
  <si>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</si>
  <si>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</si>
  <si>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</si>
  <si>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</si>
  <si>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</si>
  <si>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</si>
  <si>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</si>
  <si>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</si>
  <si>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</si>
  <si>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</si>
  <si>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</si>
  <si>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</si>
  <si>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</si>
  <si>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</si>
  <si>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</si>
  <si>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</si>
  <si>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</si>
  <si>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</si>
  <si>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</si>
  <si>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</si>
  <si>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</si>
  <si>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</si>
  <si>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</si>
  <si>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</si>
  <si>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</si>
  <si>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</si>
  <si>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</si>
  <si>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</si>
  <si>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</si>
  <si>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</si>
  <si>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</si>
  <si>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</si>
  <si>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</si>
  <si>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</si>
  <si>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</si>
  <si>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</si>
  <si>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</si>
  <si>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</si>
  <si>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</si>
  <si>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</si>
  <si>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</si>
  <si>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</si>
  <si>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</si>
  <si>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</si>
  <si>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</si>
  <si>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</si>
  <si>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</si>
  <si>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</si>
  <si>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</si>
  <si>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</si>
  <si>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</si>
  <si>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</si>
  <si>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</si>
  <si>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</si>
  <si>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</si>
  <si>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</si>
  <si>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</si>
  <si>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</si>
  <si>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</si>
  <si>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</si>
  <si>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</si>
  <si>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</si>
  <si>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</si>
  <si>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</si>
  <si>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</si>
  <si>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</si>
  <si>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</si>
  <si>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</si>
  <si>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</si>
  <si>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</si>
  <si>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</si>
  <si>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</si>
  <si>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</si>
  <si>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</si>
  <si>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</si>
  <si>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</si>
  <si>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</si>
  <si>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</si>
  <si>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</si>
  <si>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</si>
  <si>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</si>
  <si>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</si>
  <si>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</si>
  <si>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</si>
  <si>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</si>
  <si>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</si>
  <si>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</si>
  <si>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</si>
  <si>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</si>
  <si>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</si>
  <si>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</si>
  <si>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</si>
  <si>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</si>
  <si>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</si>
  <si>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</si>
  <si>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</si>
  <si>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</si>
  <si>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</si>
  <si>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</si>
  <si>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</si>
  <si>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</si>
  <si>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</si>
  <si>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</si>
  <si>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</si>
  <si>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</si>
  <si>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</si>
  <si>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</si>
  <si>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</si>
  <si>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</si>
  <si>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</si>
  <si>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</si>
  <si>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</si>
  <si>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</si>
  <si>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</si>
  <si>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</si>
  <si>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</si>
  <si>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</si>
  <si>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</si>
  <si>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</si>
  <si>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</si>
  <si>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</si>
  <si>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</si>
  <si>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</si>
  <si>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</si>
  <si>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</si>
  <si>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</si>
  <si>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</si>
  <si>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</si>
  <si>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</si>
  <si>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</si>
  <si>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</si>
  <si>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</si>
  <si>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</si>
  <si>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</si>
  <si>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</si>
  <si>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</si>
  <si>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</si>
  <si>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</si>
  <si>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</si>
  <si>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</si>
  <si>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</si>
  <si>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</si>
  <si>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</si>
  <si>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</si>
  <si>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</si>
  <si>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</si>
  <si>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</si>
  <si>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</si>
  <si>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</si>
  <si>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</si>
  <si>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</si>
  <si>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</si>
  <si>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</si>
  <si>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</si>
  <si>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</si>
  <si>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</si>
  <si>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</si>
  <si>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</si>
  <si>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</si>
  <si>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</si>
  <si>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</si>
  <si>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</si>
  <si>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</si>
  <si>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</si>
  <si>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</si>
  <si>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</si>
  <si>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</si>
  <si>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</si>
  <si>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</si>
  <si>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</si>
  <si>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</si>
  <si>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</si>
  <si>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</si>
  <si>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</si>
  <si>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</si>
  <si>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</si>
  <si>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</si>
  <si>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</si>
  <si>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</si>
  <si>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</si>
  <si>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</si>
  <si>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</si>
  <si>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</si>
  <si>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</si>
  <si>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</si>
  <si>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</si>
  <si>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</si>
  <si>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</si>
  <si>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</si>
  <si>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</si>
  <si>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</si>
  <si>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</si>
  <si>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</si>
  <si>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</si>
  <si>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</si>
  <si>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</si>
  <si>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</si>
  <si>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</si>
  <si>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</si>
  <si>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</si>
  <si>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</si>
  <si>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</si>
  <si>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</si>
  <si>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</si>
  <si>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</si>
  <si>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</si>
  <si>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</si>
  <si>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</si>
  <si>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</si>
  <si>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</si>
  <si>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</si>
  <si>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</si>
  <si>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</si>
  <si>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</si>
  <si>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</si>
  <si>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</si>
  <si>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</si>
  <si>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</si>
  <si>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</si>
  <si>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</si>
  <si>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</si>
  <si>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</si>
  <si>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</si>
  <si>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</si>
  <si>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</si>
  <si>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</si>
  <si>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</si>
  <si>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</si>
  <si>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</si>
  <si>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</si>
  <si>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</si>
  <si>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</si>
  <si>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</si>
  <si>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</si>
  <si>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</si>
  <si>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</si>
  <si>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</si>
  <si>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</si>
  <si>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</si>
  <si>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</si>
  <si>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</si>
  <si>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</si>
  <si>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</si>
  <si>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</si>
  <si>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</si>
  <si>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</si>
  <si>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</si>
  <si>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</si>
  <si>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</si>
  <si>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</si>
  <si>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</si>
  <si>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</si>
  <si>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</si>
  <si>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</si>
  <si>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</si>
  <si>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</si>
  <si>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</si>
  <si>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</si>
  <si>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</si>
  <si>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</si>
  <si>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</si>
  <si>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</si>
  <si>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</si>
  <si>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</si>
  <si>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</si>
  <si>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</si>
  <si>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</si>
  <si>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</si>
  <si>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</si>
  <si>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</si>
  <si>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</si>
  <si>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</si>
  <si>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</si>
  <si>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</si>
  <si>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</si>
  <si>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</si>
  <si>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</si>
  <si>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</si>
  <si>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</si>
  <si>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</si>
  <si>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</si>
  <si>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</si>
  <si>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</si>
  <si>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</si>
  <si>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</si>
  <si>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</si>
  <si>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</si>
  <si>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</si>
  <si>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</si>
  <si>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</si>
  <si>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</si>
  <si>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</si>
  <si>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</si>
  <si>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</si>
  <si>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</si>
  <si>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</si>
  <si>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</si>
  <si>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</si>
  <si>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</si>
  <si>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</si>
  <si>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</si>
  <si>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</si>
  <si>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</si>
  <si>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</si>
  <si>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</si>
  <si>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</si>
  <si>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</si>
  <si>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</si>
  <si>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</si>
  <si>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</si>
  <si>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</si>
  <si>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</si>
  <si>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</si>
  <si>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</si>
  <si>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</si>
  <si>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</si>
  <si>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</si>
  <si>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</si>
  <si>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</si>
  <si>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</si>
  <si>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</si>
  <si>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</si>
  <si>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</si>
  <si>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</si>
  <si>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</si>
  <si>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</si>
  <si>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</si>
  <si>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</si>
  <si>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"ЕНЕМОНА"АД, КОЗЛОДУЙ</t>
  </si>
  <si>
    <t xml:space="preserve"> НЕКОНСОЛИДИРАН</t>
  </si>
  <si>
    <t>,020955078</t>
  </si>
  <si>
    <t>1199-1</t>
  </si>
  <si>
    <t>1. Агро Инвест Инженеринг</t>
  </si>
  <si>
    <t>2. Енемона Ютилитис ЕАД</t>
  </si>
  <si>
    <t>3. ФЕЕИ АДСИЦ</t>
  </si>
  <si>
    <t>4. Пирин Пауър АД</t>
  </si>
  <si>
    <t>1. Тара Трейд Консулт АД</t>
  </si>
  <si>
    <t>5. Ресурс БГ ООД</t>
  </si>
  <si>
    <t>6. Ботуня Енерджи АД</t>
  </si>
  <si>
    <t>7. ФИНИ АДСИЦ</t>
  </si>
  <si>
    <t>8. Хемусгаз АД</t>
  </si>
  <si>
    <t>9. Еско инженеринг АД</t>
  </si>
  <si>
    <t>10. Солар Енерджи ООД</t>
  </si>
  <si>
    <t>11. НЕО АГРО ТЕХ АД</t>
  </si>
  <si>
    <t>12.ТФЕЦ Никопол ЕАД</t>
  </si>
  <si>
    <t>13. Енемона-Гълъбово АД</t>
  </si>
  <si>
    <t>14. Неврокоп-газ АД</t>
  </si>
  <si>
    <t>15.Емко АД</t>
  </si>
  <si>
    <t>2. Енемона Старт</t>
  </si>
  <si>
    <t>3. Енида Инженеринг АД</t>
  </si>
  <si>
    <t>4. СОФ ГЕО ЛИНТ 2006 ООД</t>
  </si>
  <si>
    <t>1. Алфа Енемона ООД</t>
  </si>
  <si>
    <t>2. Свиленград-газ АД</t>
  </si>
  <si>
    <t>01.01.2010-31.12.2010 година</t>
  </si>
  <si>
    <t>Дата на съставяне: 27.01.2011</t>
  </si>
  <si>
    <t xml:space="preserve">Дата на съставяне:     27.01.2011                </t>
  </si>
  <si>
    <t xml:space="preserve">Дата  на съставяне:      27.01.2011                                                                                                 </t>
  </si>
  <si>
    <t xml:space="preserve">Дата на съставяне:         27.01.2011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</si>
</sst>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1" fontId="8" fillId="0" borderId="0" xfId="61" applyNumberFormat="1" applyFont="1" applyAlignment="1" applyProtection="1">
      <alignment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57" applyFont="1" applyAlignment="1" applyProtection="1" quotePrefix="1">
      <alignment vertical="center" wrapText="1"/>
      <protection locked="0"/>
    </xf>
    <xf numFmtId="49" fontId="10" fillId="0" borderId="0" xfId="57" applyNumberFormat="1" applyFont="1" applyAlignment="1" applyProtection="1" quotePrefix="1">
      <alignment vertical="center" wrapText="1"/>
      <protection locked="0"/>
    </xf>
    <xf numFmtId="3" fontId="10" fillId="0" borderId="10" xfId="64" applyNumberFormat="1" applyFont="1" applyFill="1" applyBorder="1" applyAlignment="1" applyProtection="1">
      <alignment vertical="center"/>
      <protection locked="0"/>
    </xf>
    <xf numFmtId="4" fontId="4" fillId="0" borderId="0" xfId="58" applyNumberFormat="1" applyFont="1" applyAlignment="1">
      <alignment horizontal="left" vertical="center" wrapText="1"/>
      <protection/>
    </xf>
    <xf numFmtId="4" fontId="3" fillId="0" borderId="0" xfId="58" applyNumberFormat="1" applyFont="1" applyAlignment="1">
      <alignment horizontal="centerContinuous" vertical="center" wrapText="1"/>
      <protection/>
    </xf>
    <xf numFmtId="4" fontId="3" fillId="0" borderId="0" xfId="58" applyNumberFormat="1" applyFont="1" applyAlignment="1">
      <alignment horizontal="center" vertical="center" wrapText="1"/>
      <protection/>
    </xf>
    <xf numFmtId="4" fontId="4" fillId="0" borderId="0" xfId="59" applyNumberFormat="1" applyFont="1" applyAlignment="1">
      <alignment horizontal="center"/>
      <protection/>
    </xf>
    <xf numFmtId="4" fontId="4" fillId="0" borderId="0" xfId="59" applyNumberFormat="1" applyFont="1" applyBorder="1" applyAlignment="1">
      <alignment vertical="justify"/>
      <protection/>
    </xf>
    <xf numFmtId="4" fontId="3" fillId="0" borderId="10" xfId="58" applyNumberFormat="1" applyFont="1" applyBorder="1" applyAlignment="1">
      <alignment horizontal="center" vertical="center" wrapText="1"/>
      <protection/>
    </xf>
    <xf numFmtId="4" fontId="4" fillId="0" borderId="10" xfId="58" applyNumberFormat="1" applyFont="1" applyBorder="1" applyAlignment="1">
      <alignment horizontal="right" vertical="center" wrapText="1"/>
      <protection/>
    </xf>
    <xf numFmtId="4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58" applyNumberFormat="1" applyFont="1" applyBorder="1" applyAlignment="1">
      <alignment horizontal="left" vertical="center" wrapText="1"/>
      <protection/>
    </xf>
    <xf numFmtId="4" fontId="4" fillId="0" borderId="0" xfId="58" applyNumberFormat="1" applyFont="1">
      <alignment/>
      <protection/>
    </xf>
    <xf numFmtId="4" fontId="4" fillId="0" borderId="0" xfId="60" applyNumberFormat="1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86"/>
  <sheetViews>
    <sheetView tabSelected="1" zoomScale="70" zoomScaleNormal="70" zoomScalePageLayoutView="0" workbookViewId="0" topLeftCell="A1">
      <selection activeCell="J90" sqref="J9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1" t="s">
        <v>1</v>
      </c>
      <c r="B3" s="592"/>
      <c r="C3" s="592"/>
      <c r="D3" s="592"/>
      <c r="E3" s="462" t="s">
        <v>863</v>
      </c>
      <c r="F3" s="217" t="s">
        <v>2</v>
      </c>
      <c r="G3" s="172"/>
      <c r="H3" s="461" t="s">
        <v>865</v>
      </c>
    </row>
    <row r="4" spans="1:8" ht="15">
      <c r="A4" s="591" t="s">
        <v>3</v>
      </c>
      <c r="B4" s="597"/>
      <c r="C4" s="597"/>
      <c r="D4" s="597"/>
      <c r="E4" s="504" t="s">
        <v>864</v>
      </c>
      <c r="F4" s="593" t="s">
        <v>4</v>
      </c>
      <c r="G4" s="594"/>
      <c r="H4" s="461" t="s">
        <v>866</v>
      </c>
    </row>
    <row r="5" spans="1:8" ht="15">
      <c r="A5" s="591" t="s">
        <v>5</v>
      </c>
      <c r="B5" s="592"/>
      <c r="C5" s="592"/>
      <c r="D5" s="592"/>
      <c r="E5" s="505" t="s">
        <v>888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5812</v>
      </c>
      <c r="D11" s="151">
        <v>2819</v>
      </c>
      <c r="E11" s="237" t="s">
        <v>22</v>
      </c>
      <c r="F11" s="242" t="s">
        <v>23</v>
      </c>
      <c r="G11" s="152">
        <v>13037</v>
      </c>
      <c r="H11" s="152">
        <v>11934</v>
      </c>
    </row>
    <row r="12" spans="1:8" ht="15">
      <c r="A12" s="235" t="s">
        <v>24</v>
      </c>
      <c r="B12" s="241" t="s">
        <v>25</v>
      </c>
      <c r="C12" s="151">
        <v>18186</v>
      </c>
      <c r="D12" s="151">
        <v>9457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1297</v>
      </c>
      <c r="D13" s="151">
        <v>1674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4485</v>
      </c>
      <c r="D15" s="151">
        <v>5153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350</v>
      </c>
      <c r="D16" s="151">
        <v>367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5967</v>
      </c>
      <c r="D17" s="151">
        <v>5760</v>
      </c>
      <c r="E17" s="243" t="s">
        <v>46</v>
      </c>
      <c r="F17" s="245" t="s">
        <v>47</v>
      </c>
      <c r="G17" s="154">
        <f>G11+G14+G15+G16</f>
        <v>13037</v>
      </c>
      <c r="H17" s="154">
        <f>H11+H14+H15+H16</f>
        <v>11934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1109</v>
      </c>
      <c r="D18" s="151">
        <v>1281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37206</v>
      </c>
      <c r="D19" s="155">
        <f>SUM(D11:D18)</f>
        <v>26511</v>
      </c>
      <c r="E19" s="237" t="s">
        <v>53</v>
      </c>
      <c r="F19" s="242" t="s">
        <v>54</v>
      </c>
      <c r="G19" s="152">
        <v>30837</v>
      </c>
      <c r="H19" s="152">
        <v>30837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>
        <v>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34374</v>
      </c>
      <c r="H21" s="156">
        <f>SUM(H22:H24)</f>
        <v>18619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27716</v>
      </c>
      <c r="H22" s="152">
        <v>17626</v>
      </c>
    </row>
    <row r="23" spans="1:13" ht="15">
      <c r="A23" s="235" t="s">
        <v>66</v>
      </c>
      <c r="B23" s="241" t="s">
        <v>67</v>
      </c>
      <c r="C23" s="151">
        <v>681</v>
      </c>
      <c r="D23" s="151">
        <v>733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106</v>
      </c>
      <c r="D24" s="151">
        <v>126</v>
      </c>
      <c r="E24" s="237" t="s">
        <v>72</v>
      </c>
      <c r="F24" s="242" t="s">
        <v>73</v>
      </c>
      <c r="G24" s="152">
        <v>6658</v>
      </c>
      <c r="H24" s="152">
        <v>993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65211</v>
      </c>
      <c r="H25" s="154">
        <f>H19+H20+H21</f>
        <v>49456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787</v>
      </c>
      <c r="D27" s="155">
        <f>SUM(D23:D26)</f>
        <v>859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1602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1602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4474.8</v>
      </c>
      <c r="H31" s="152">
        <f>'справка №2-ОТЧЕТ ЗА ДОХОДИТЕ'!D41</f>
        <v>9988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4474.8</v>
      </c>
      <c r="H33" s="154">
        <f>H27+H31+H32</f>
        <v>11590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19342</v>
      </c>
      <c r="D34" s="155">
        <f>SUM(D35:D38)</f>
        <v>18572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19338</v>
      </c>
      <c r="D35" s="151">
        <v>18321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82722.8</v>
      </c>
      <c r="H36" s="154">
        <f>H25+H17+H33</f>
        <v>72980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4</v>
      </c>
      <c r="D37" s="151">
        <v>251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17873</v>
      </c>
      <c r="H44" s="152">
        <v>192</v>
      </c>
    </row>
    <row r="45" spans="1:15" ht="15">
      <c r="A45" s="235" t="s">
        <v>136</v>
      </c>
      <c r="B45" s="249" t="s">
        <v>137</v>
      </c>
      <c r="C45" s="155">
        <f>C34+C39+C44</f>
        <v>19342</v>
      </c>
      <c r="D45" s="155">
        <f>D34+D39+D44</f>
        <v>18572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>
        <f>18</f>
        <v>18</v>
      </c>
      <c r="E47" s="251" t="s">
        <v>145</v>
      </c>
      <c r="F47" s="242" t="s">
        <v>146</v>
      </c>
      <c r="G47" s="152"/>
      <c r="H47" s="152">
        <v>2934</v>
      </c>
      <c r="M47" s="157"/>
    </row>
    <row r="48" spans="1:8" ht="15">
      <c r="A48" s="235" t="s">
        <v>147</v>
      </c>
      <c r="B48" s="244" t="s">
        <v>148</v>
      </c>
      <c r="C48" s="151">
        <f>1353</f>
        <v>1353</v>
      </c>
      <c r="D48" s="151">
        <f>2408-18</f>
        <v>2390</v>
      </c>
      <c r="E48" s="237" t="s">
        <v>149</v>
      </c>
      <c r="F48" s="242" t="s">
        <v>150</v>
      </c>
      <c r="G48" s="152">
        <v>5087</v>
      </c>
      <c r="H48" s="152">
        <v>1716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22960</v>
      </c>
      <c r="H49" s="154">
        <f>SUM(H43:H48)</f>
        <v>4842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f>2531+469+3+88+8+12+15528</f>
        <v>18639</v>
      </c>
      <c r="D50" s="151">
        <f>1226+517+8+179+1+5309+14</f>
        <v>7254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19992</v>
      </c>
      <c r="D51" s="155">
        <f>SUM(D47:D50)</f>
        <v>9662</v>
      </c>
      <c r="E51" s="251" t="s">
        <v>157</v>
      </c>
      <c r="F51" s="245" t="s">
        <v>158</v>
      </c>
      <c r="G51" s="152">
        <v>118</v>
      </c>
      <c r="H51" s="152">
        <v>174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980</v>
      </c>
      <c r="H53" s="152">
        <v>980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77327</v>
      </c>
      <c r="D55" s="155">
        <f>D19+D20+D21+D27+D32+D45+D51+D53+D54</f>
        <v>55604</v>
      </c>
      <c r="E55" s="237" t="s">
        <v>172</v>
      </c>
      <c r="F55" s="261" t="s">
        <v>173</v>
      </c>
      <c r="G55" s="154">
        <f>G49+G51+G52+G53+G54</f>
        <v>24058</v>
      </c>
      <c r="H55" s="154">
        <f>H49+H51+H52+H53+H54</f>
        <v>5996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4631</v>
      </c>
      <c r="D58" s="151">
        <v>12620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39540</v>
      </c>
      <c r="H59" s="152">
        <v>34488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628</v>
      </c>
      <c r="H60" s="152">
        <v>1002</v>
      </c>
    </row>
    <row r="61" spans="1:18" ht="15">
      <c r="A61" s="235" t="s">
        <v>187</v>
      </c>
      <c r="B61" s="244" t="s">
        <v>188</v>
      </c>
      <c r="C61" s="151"/>
      <c r="D61" s="151">
        <v>38</v>
      </c>
      <c r="E61" s="243" t="s">
        <v>189</v>
      </c>
      <c r="F61" s="272" t="s">
        <v>190</v>
      </c>
      <c r="G61" s="154">
        <f>SUM(G62:G68)</f>
        <v>34594.2</v>
      </c>
      <c r="H61" s="154">
        <f>SUM(H62:H68)</f>
        <v>28992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9191</v>
      </c>
      <c r="H62" s="152">
        <v>2109</v>
      </c>
    </row>
    <row r="63" spans="1:13" ht="15">
      <c r="A63" s="235" t="s">
        <v>195</v>
      </c>
      <c r="B63" s="241" t="s">
        <v>196</v>
      </c>
      <c r="C63" s="151">
        <v>1561</v>
      </c>
      <c r="D63" s="151">
        <v>62</v>
      </c>
      <c r="E63" s="237" t="s">
        <v>197</v>
      </c>
      <c r="F63" s="242" t="s">
        <v>198</v>
      </c>
      <c r="G63" s="152">
        <v>3130</v>
      </c>
      <c r="H63" s="152">
        <v>3328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6192</v>
      </c>
      <c r="D64" s="155">
        <f>SUM(D58:D63)</f>
        <v>12720</v>
      </c>
      <c r="E64" s="237" t="s">
        <v>200</v>
      </c>
      <c r="F64" s="242" t="s">
        <v>201</v>
      </c>
      <c r="G64" s="152">
        <v>12853</v>
      </c>
      <c r="H64" s="152">
        <v>6280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7804</v>
      </c>
      <c r="H65" s="152">
        <v>14145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682</v>
      </c>
      <c r="H66" s="152">
        <v>769</v>
      </c>
    </row>
    <row r="67" spans="1:8" ht="15">
      <c r="A67" s="235" t="s">
        <v>207</v>
      </c>
      <c r="B67" s="241" t="s">
        <v>208</v>
      </c>
      <c r="C67" s="151">
        <v>6586</v>
      </c>
      <c r="D67" s="151">
        <v>2024</v>
      </c>
      <c r="E67" s="237" t="s">
        <v>209</v>
      </c>
      <c r="F67" s="242" t="s">
        <v>210</v>
      </c>
      <c r="G67" s="152">
        <v>251</v>
      </c>
      <c r="H67" s="152">
        <v>272</v>
      </c>
    </row>
    <row r="68" spans="1:8" ht="15">
      <c r="A68" s="235" t="s">
        <v>211</v>
      </c>
      <c r="B68" s="241" t="s">
        <v>212</v>
      </c>
      <c r="C68" s="151">
        <v>66193</v>
      </c>
      <c r="D68" s="151">
        <v>54027</v>
      </c>
      <c r="E68" s="237" t="s">
        <v>213</v>
      </c>
      <c r="F68" s="242" t="s">
        <v>214</v>
      </c>
      <c r="G68" s="152">
        <v>683.2</v>
      </c>
      <c r="H68" s="152">
        <v>2089</v>
      </c>
    </row>
    <row r="69" spans="1:8" ht="15">
      <c r="A69" s="235" t="s">
        <v>215</v>
      </c>
      <c r="B69" s="241" t="s">
        <v>216</v>
      </c>
      <c r="C69" s="151">
        <v>14464</v>
      </c>
      <c r="D69" s="151">
        <v>3150</v>
      </c>
      <c r="E69" s="251" t="s">
        <v>78</v>
      </c>
      <c r="F69" s="242" t="s">
        <v>217</v>
      </c>
      <c r="G69" s="152">
        <v>1183</v>
      </c>
      <c r="H69" s="152">
        <v>1102</v>
      </c>
    </row>
    <row r="70" spans="1:8" ht="15">
      <c r="A70" s="235" t="s">
        <v>218</v>
      </c>
      <c r="B70" s="241" t="s">
        <v>219</v>
      </c>
      <c r="C70" s="151">
        <v>7544</v>
      </c>
      <c r="D70" s="151">
        <v>4083</v>
      </c>
      <c r="E70" s="237" t="s">
        <v>220</v>
      </c>
      <c r="F70" s="242" t="s">
        <v>221</v>
      </c>
      <c r="G70" s="152">
        <v>167</v>
      </c>
      <c r="H70" s="152">
        <v>240</v>
      </c>
    </row>
    <row r="71" spans="1:18" ht="15">
      <c r="A71" s="235" t="s">
        <v>222</v>
      </c>
      <c r="B71" s="241" t="s">
        <v>223</v>
      </c>
      <c r="C71" s="151"/>
      <c r="D71" s="151">
        <v>2</v>
      </c>
      <c r="E71" s="253" t="s">
        <v>46</v>
      </c>
      <c r="F71" s="273" t="s">
        <v>224</v>
      </c>
      <c r="G71" s="161">
        <f>G59+G60+G61+G69+G70</f>
        <v>76112.2</v>
      </c>
      <c r="H71" s="161">
        <f>H59+H60+H61+H69+H70</f>
        <v>65824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813</v>
      </c>
      <c r="D74" s="151">
        <v>1762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95601</v>
      </c>
      <c r="D75" s="155">
        <f>SUM(D67:D74)</f>
        <v>65049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76112.2</v>
      </c>
      <c r="H79" s="162">
        <f>H71+H74+H75+H76</f>
        <v>65824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163</v>
      </c>
      <c r="D87" s="151">
        <v>2252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2555</v>
      </c>
      <c r="D88" s="151">
        <v>8161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1055</v>
      </c>
      <c r="D89" s="151">
        <v>1014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3773</v>
      </c>
      <c r="D91" s="155">
        <f>SUM(D87:D90)</f>
        <v>11427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105566</v>
      </c>
      <c r="D93" s="155">
        <f>D64+D75+D84+D91+D92</f>
        <v>89196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182893</v>
      </c>
      <c r="D94" s="164">
        <f>D93+D55</f>
        <v>144800</v>
      </c>
      <c r="E94" s="449" t="s">
        <v>270</v>
      </c>
      <c r="F94" s="289" t="s">
        <v>271</v>
      </c>
      <c r="G94" s="165">
        <f>G36+G39+G55+G79</f>
        <v>182893</v>
      </c>
      <c r="H94" s="165">
        <f>H36+H39+H55+H79</f>
        <v>144800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5">
        <f>+C94-G94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889</v>
      </c>
      <c r="B98" s="432"/>
      <c r="C98" s="595" t="s">
        <v>273</v>
      </c>
      <c r="D98" s="595"/>
      <c r="E98" s="59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5" t="s">
        <v>855</v>
      </c>
      <c r="D100" s="596"/>
      <c r="E100" s="596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366"/>
  <sheetViews>
    <sheetView zoomScalePageLayoutView="0" workbookViewId="0" topLeftCell="A1">
      <selection activeCell="C28" sqref="C28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600" t="str">
        <f>'справка №1-БАЛАНС'!E3</f>
        <v>"ЕНЕМОНА"АД, КОЗЛОДУЙ</v>
      </c>
      <c r="C2" s="600"/>
      <c r="D2" s="600"/>
      <c r="E2" s="600"/>
      <c r="F2" s="602" t="s">
        <v>2</v>
      </c>
      <c r="G2" s="602"/>
      <c r="H2" s="525" t="str">
        <f>'справка №1-БАЛАНС'!H3</f>
        <v>,020955078</v>
      </c>
    </row>
    <row r="3" spans="1:8" ht="15">
      <c r="A3" s="467" t="s">
        <v>275</v>
      </c>
      <c r="B3" s="600" t="str">
        <f>'справка №1-БАЛАНС'!E4</f>
        <v> НЕКОНСОЛИДИРАН</v>
      </c>
      <c r="C3" s="600"/>
      <c r="D3" s="600"/>
      <c r="E3" s="600"/>
      <c r="F3" s="545" t="s">
        <v>4</v>
      </c>
      <c r="G3" s="526"/>
      <c r="H3" s="526" t="str">
        <f>'справка №1-БАЛАНС'!H4</f>
        <v>1199-1</v>
      </c>
    </row>
    <row r="4" spans="1:8" ht="17.25" customHeight="1">
      <c r="A4" s="467" t="s">
        <v>5</v>
      </c>
      <c r="B4" s="601" t="str">
        <f>'справка №1-БАЛАНС'!E5</f>
        <v>01.01.2010-31.12.2010 година</v>
      </c>
      <c r="C4" s="601"/>
      <c r="D4" s="601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22339</v>
      </c>
      <c r="D9" s="46">
        <v>16870</v>
      </c>
      <c r="E9" s="298" t="s">
        <v>285</v>
      </c>
      <c r="F9" s="548" t="s">
        <v>286</v>
      </c>
      <c r="G9" s="549">
        <v>85324</v>
      </c>
      <c r="H9" s="549">
        <v>89811</v>
      </c>
    </row>
    <row r="10" spans="1:8" ht="12">
      <c r="A10" s="298" t="s">
        <v>287</v>
      </c>
      <c r="B10" s="299" t="s">
        <v>288</v>
      </c>
      <c r="C10" s="46">
        <v>36471</v>
      </c>
      <c r="D10" s="46">
        <v>36954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1715</v>
      </c>
      <c r="D11" s="46">
        <v>1803</v>
      </c>
      <c r="E11" s="300" t="s">
        <v>293</v>
      </c>
      <c r="F11" s="548" t="s">
        <v>294</v>
      </c>
      <c r="G11" s="549">
        <v>319</v>
      </c>
      <c r="H11" s="549">
        <v>419</v>
      </c>
    </row>
    <row r="12" spans="1:8" ht="12">
      <c r="A12" s="298" t="s">
        <v>295</v>
      </c>
      <c r="B12" s="299" t="s">
        <v>296</v>
      </c>
      <c r="C12" s="46">
        <v>16863</v>
      </c>
      <c r="D12" s="46">
        <v>16641</v>
      </c>
      <c r="E12" s="300" t="s">
        <v>78</v>
      </c>
      <c r="F12" s="548" t="s">
        <v>297</v>
      </c>
      <c r="G12" s="549">
        <v>652</v>
      </c>
      <c r="H12" s="549">
        <v>1434</v>
      </c>
    </row>
    <row r="13" spans="1:18" ht="12">
      <c r="A13" s="298" t="s">
        <v>298</v>
      </c>
      <c r="B13" s="299" t="s">
        <v>299</v>
      </c>
      <c r="C13" s="46">
        <v>2312</v>
      </c>
      <c r="D13" s="46">
        <v>1998</v>
      </c>
      <c r="E13" s="301" t="s">
        <v>51</v>
      </c>
      <c r="F13" s="550" t="s">
        <v>300</v>
      </c>
      <c r="G13" s="547">
        <f>SUM(G9:G12)</f>
        <v>86295</v>
      </c>
      <c r="H13" s="547">
        <f>SUM(H9:H12)</f>
        <v>91664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-845</v>
      </c>
      <c r="D15" s="47">
        <v>1855</v>
      </c>
      <c r="E15" s="296" t="s">
        <v>305</v>
      </c>
      <c r="F15" s="553" t="s">
        <v>306</v>
      </c>
      <c r="G15" s="549">
        <v>11</v>
      </c>
      <c r="H15" s="549">
        <v>11</v>
      </c>
    </row>
    <row r="16" spans="1:8" ht="12">
      <c r="A16" s="298" t="s">
        <v>307</v>
      </c>
      <c r="B16" s="299" t="s">
        <v>308</v>
      </c>
      <c r="C16" s="47">
        <v>1934</v>
      </c>
      <c r="D16" s="47">
        <v>2790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80789</v>
      </c>
      <c r="D19" s="49">
        <f>SUM(D9:D15)+D16</f>
        <v>78911</v>
      </c>
      <c r="E19" s="304" t="s">
        <v>317</v>
      </c>
      <c r="F19" s="551" t="s">
        <v>318</v>
      </c>
      <c r="G19" s="549">
        <v>1782</v>
      </c>
      <c r="H19" s="549">
        <v>1074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>
        <v>1663</v>
      </c>
      <c r="H20" s="549">
        <v>366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>
        <v>5</v>
      </c>
      <c r="H21" s="549">
        <v>174</v>
      </c>
    </row>
    <row r="22" spans="1:8" ht="24">
      <c r="A22" s="304" t="s">
        <v>324</v>
      </c>
      <c r="B22" s="305" t="s">
        <v>325</v>
      </c>
      <c r="C22" s="46">
        <v>3270</v>
      </c>
      <c r="D22" s="46">
        <v>3148</v>
      </c>
      <c r="E22" s="304" t="s">
        <v>326</v>
      </c>
      <c r="F22" s="551" t="s">
        <v>327</v>
      </c>
      <c r="G22" s="549">
        <v>29</v>
      </c>
      <c r="H22" s="549">
        <v>21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2</v>
      </c>
      <c r="H23" s="549">
        <v>19</v>
      </c>
    </row>
    <row r="24" spans="1:18" ht="12">
      <c r="A24" s="298" t="s">
        <v>332</v>
      </c>
      <c r="B24" s="305" t="s">
        <v>333</v>
      </c>
      <c r="C24" s="46">
        <v>46</v>
      </c>
      <c r="D24" s="46">
        <v>50</v>
      </c>
      <c r="E24" s="301" t="s">
        <v>103</v>
      </c>
      <c r="F24" s="553" t="s">
        <v>334</v>
      </c>
      <c r="G24" s="547">
        <f>SUM(G19:G23)</f>
        <v>3481</v>
      </c>
      <c r="H24" s="547">
        <f>SUM(H19:H23)</f>
        <v>1654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710</v>
      </c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4026</v>
      </c>
      <c r="D26" s="49">
        <f>SUM(D22:D25)</f>
        <v>3198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84815</v>
      </c>
      <c r="D28" s="50">
        <f>D26+D19</f>
        <v>82109</v>
      </c>
      <c r="E28" s="127" t="s">
        <v>339</v>
      </c>
      <c r="F28" s="553" t="s">
        <v>340</v>
      </c>
      <c r="G28" s="547">
        <f>G13+G15+G24</f>
        <v>89787</v>
      </c>
      <c r="H28" s="547">
        <f>H13+H15+H24</f>
        <v>93329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4972</v>
      </c>
      <c r="D30" s="50">
        <f>IF((H28-D28)&gt;0,H28-D28,0)</f>
        <v>11220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345</v>
      </c>
      <c r="C31" s="46"/>
      <c r="D31" s="46"/>
      <c r="E31" s="296" t="s">
        <v>854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>
        <v>0</v>
      </c>
    </row>
    <row r="33" spans="1:18" ht="12">
      <c r="A33" s="128" t="s">
        <v>351</v>
      </c>
      <c r="B33" s="306" t="s">
        <v>352</v>
      </c>
      <c r="C33" s="49">
        <f>C28+C31+C32</f>
        <v>84815</v>
      </c>
      <c r="D33" s="49">
        <f>D28+D31+D32</f>
        <v>82109</v>
      </c>
      <c r="E33" s="127" t="s">
        <v>353</v>
      </c>
      <c r="F33" s="553" t="s">
        <v>354</v>
      </c>
      <c r="G33" s="53">
        <f>G32+G31+G28</f>
        <v>89787</v>
      </c>
      <c r="H33" s="53">
        <f>H32+H31+H28</f>
        <v>93329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4972</v>
      </c>
      <c r="D34" s="50">
        <f>IF((H33-D33)&gt;0,H33-D33,0)</f>
        <v>11220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497.20000000000005</v>
      </c>
      <c r="D35" s="49">
        <f>D36+D37+D38</f>
        <v>1232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f>C34*10%</f>
        <v>497.20000000000005</v>
      </c>
      <c r="D36" s="46">
        <v>1106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>
        <v>126</v>
      </c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4474.8</v>
      </c>
      <c r="D39" s="460">
        <f>+IF((H33-D33-D35)&gt;0,H33-D33-D35,0)</f>
        <v>9988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4474.8</v>
      </c>
      <c r="D41" s="52">
        <f>IF(H39=0,IF(D39-D40&gt;0,D39-D40+H40,0),IF(H39-H40&lt;0,H40-H39+D39,0))</f>
        <v>9988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89787</v>
      </c>
      <c r="D42" s="53">
        <f>D33+D35+D39</f>
        <v>93329</v>
      </c>
      <c r="E42" s="128" t="s">
        <v>380</v>
      </c>
      <c r="F42" s="129" t="s">
        <v>381</v>
      </c>
      <c r="G42" s="53">
        <f>G39+G33</f>
        <v>89787</v>
      </c>
      <c r="H42" s="53">
        <f>H39+H33</f>
        <v>93329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603" t="s">
        <v>861</v>
      </c>
      <c r="B45" s="603"/>
      <c r="C45" s="603"/>
      <c r="D45" s="603"/>
      <c r="E45" s="603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>
        <v>40570</v>
      </c>
      <c r="C48" s="427" t="s">
        <v>382</v>
      </c>
      <c r="D48" s="598"/>
      <c r="E48" s="598"/>
      <c r="F48" s="598"/>
      <c r="G48" s="598"/>
      <c r="H48" s="59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99"/>
      <c r="E50" s="599"/>
      <c r="F50" s="599"/>
      <c r="G50" s="599"/>
      <c r="H50" s="59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2"/>
  <sheetViews>
    <sheetView zoomScale="75" zoomScaleNormal="75" zoomScalePageLayoutView="0" workbookViewId="0" topLeftCell="A1">
      <selection activeCell="C46" sqref="C46: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"ЕНЕМОНА"АД, КОЗЛОДУЙ</v>
      </c>
      <c r="C4" s="540" t="s">
        <v>2</v>
      </c>
      <c r="D4" s="540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01.01.2010-31.12.2010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76555</v>
      </c>
      <c r="D10" s="54">
        <v>112623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-70799</v>
      </c>
      <c r="D11" s="54">
        <v>-75431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-20057</v>
      </c>
      <c r="D13" s="54">
        <v>-20077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-2604</v>
      </c>
      <c r="D14" s="54">
        <v>-8404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-1106</v>
      </c>
      <c r="D15" s="54">
        <v>-1025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-1457</v>
      </c>
      <c r="D19" s="54">
        <v>-2395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-19468</v>
      </c>
      <c r="D20" s="55">
        <f>SUM(D10:D19)</f>
        <v>5291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-9455</v>
      </c>
      <c r="D22" s="54">
        <v>-3310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126</v>
      </c>
      <c r="D23" s="54">
        <v>298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-15362</v>
      </c>
      <c r="D24" s="54">
        <v>-4209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11667</v>
      </c>
      <c r="D25" s="54">
        <v>5281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-1017</v>
      </c>
      <c r="D27" s="54">
        <v>-4823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248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399</v>
      </c>
      <c r="D29" s="54">
        <v>130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-13394</v>
      </c>
      <c r="D32" s="55">
        <f>SUM(D22:D31)</f>
        <v>-6633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10946</v>
      </c>
      <c r="D34" s="54">
        <v>1014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39352</v>
      </c>
      <c r="D36" s="54">
        <v>22251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-19781</v>
      </c>
      <c r="D37" s="54">
        <v>-20984</v>
      </c>
      <c r="E37" s="130"/>
      <c r="F37" s="130"/>
    </row>
    <row r="38" spans="1:6" ht="12">
      <c r="A38" s="332" t="s">
        <v>440</v>
      </c>
      <c r="B38" s="333" t="s">
        <v>441</v>
      </c>
      <c r="C38" s="54">
        <v>-1013</v>
      </c>
      <c r="D38" s="54">
        <v>-1771</v>
      </c>
      <c r="E38" s="130"/>
      <c r="F38" s="130"/>
    </row>
    <row r="39" spans="1:6" ht="12">
      <c r="A39" s="332" t="s">
        <v>442</v>
      </c>
      <c r="B39" s="333" t="s">
        <v>443</v>
      </c>
      <c r="C39" s="54">
        <v>-2861</v>
      </c>
      <c r="D39" s="54">
        <v>-2678</v>
      </c>
      <c r="E39" s="130"/>
      <c r="F39" s="130"/>
    </row>
    <row r="40" spans="1:6" ht="12">
      <c r="A40" s="332" t="s">
        <v>444</v>
      </c>
      <c r="B40" s="333" t="s">
        <v>445</v>
      </c>
      <c r="C40" s="54">
        <v>-1435</v>
      </c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25208</v>
      </c>
      <c r="D42" s="55">
        <f>SUM(D34:D41)</f>
        <v>-2168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-7654</v>
      </c>
      <c r="D43" s="55">
        <f>D42+D32+D20</f>
        <v>-3510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11427</v>
      </c>
      <c r="D44" s="132">
        <v>14937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3773</v>
      </c>
      <c r="D45" s="55">
        <f>D44+D43</f>
        <v>11427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2718</v>
      </c>
      <c r="D46" s="56">
        <v>10413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1055</v>
      </c>
      <c r="D47" s="56">
        <v>1014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04"/>
      <c r="D50" s="60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604"/>
      <c r="D52" s="60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W537"/>
  <sheetViews>
    <sheetView zoomScalePageLayoutView="0" workbookViewId="0" topLeftCell="A6">
      <selection activeCell="C28" sqref="C28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605" t="s">
        <v>460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07" t="str">
        <f>'справка №1-БАЛАНС'!E3</f>
        <v>"ЕНЕМОНА"АД, КОЗЛОДУЙ</v>
      </c>
      <c r="C3" s="607"/>
      <c r="D3" s="607"/>
      <c r="E3" s="607"/>
      <c r="F3" s="607"/>
      <c r="G3" s="607"/>
      <c r="H3" s="607"/>
      <c r="I3" s="607"/>
      <c r="J3" s="476"/>
      <c r="K3" s="609" t="s">
        <v>2</v>
      </c>
      <c r="L3" s="609"/>
      <c r="M3" s="478" t="str">
        <f>'справка №1-БАЛАНС'!H3</f>
        <v>,020955078</v>
      </c>
      <c r="N3" s="2"/>
    </row>
    <row r="4" spans="1:15" s="531" customFormat="1" ht="13.5" customHeight="1">
      <c r="A4" s="467" t="s">
        <v>461</v>
      </c>
      <c r="B4" s="607" t="str">
        <f>'справка №1-БАЛАНС'!E4</f>
        <v> НЕКОНСОЛИДИРАН</v>
      </c>
      <c r="C4" s="607"/>
      <c r="D4" s="607"/>
      <c r="E4" s="607"/>
      <c r="F4" s="607"/>
      <c r="G4" s="607"/>
      <c r="H4" s="607"/>
      <c r="I4" s="607"/>
      <c r="J4" s="136"/>
      <c r="K4" s="610" t="s">
        <v>4</v>
      </c>
      <c r="L4" s="610"/>
      <c r="M4" s="478" t="str">
        <f>'справка №1-БАЛАНС'!H4</f>
        <v>1199-1</v>
      </c>
      <c r="N4" s="3"/>
      <c r="O4" s="3"/>
    </row>
    <row r="5" spans="1:14" s="531" customFormat="1" ht="12.75" customHeight="1">
      <c r="A5" s="467" t="s">
        <v>5</v>
      </c>
      <c r="B5" s="611" t="str">
        <f>'справка №1-БАЛАНС'!E5</f>
        <v>01.01.2010-31.12.2010 година</v>
      </c>
      <c r="C5" s="611"/>
      <c r="D5" s="611"/>
      <c r="E5" s="611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11934</v>
      </c>
      <c r="D11" s="58">
        <f>'справка №1-БАЛАНС'!H19</f>
        <v>30837</v>
      </c>
      <c r="E11" s="58">
        <f>'справка №1-БАЛАНС'!H20</f>
        <v>0</v>
      </c>
      <c r="F11" s="58">
        <f>'справка №1-БАЛАНС'!H22</f>
        <v>17626</v>
      </c>
      <c r="G11" s="58">
        <f>'справка №1-БАЛАНС'!H23</f>
        <v>0</v>
      </c>
      <c r="H11" s="579">
        <f>'справка №1-БАЛАНС'!H24</f>
        <v>993</v>
      </c>
      <c r="I11" s="58">
        <f>'справка №1-БАЛАНС'!H28+'справка №1-БАЛАНС'!H31</f>
        <v>11590</v>
      </c>
      <c r="J11" s="58">
        <f>'справка №1-БАЛАНС'!H29+'справка №1-БАЛАНС'!H32</f>
        <v>0</v>
      </c>
      <c r="K11" s="60"/>
      <c r="L11" s="344">
        <f>SUM(C11:K11)</f>
        <v>72980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11934</v>
      </c>
      <c r="D15" s="61">
        <f aca="true" t="shared" si="2" ref="D15:M15">D11+D12</f>
        <v>30837</v>
      </c>
      <c r="E15" s="61">
        <f t="shared" si="2"/>
        <v>0</v>
      </c>
      <c r="F15" s="61">
        <f t="shared" si="2"/>
        <v>17626</v>
      </c>
      <c r="G15" s="61">
        <f t="shared" si="2"/>
        <v>0</v>
      </c>
      <c r="H15" s="61">
        <f t="shared" si="2"/>
        <v>993</v>
      </c>
      <c r="I15" s="61">
        <f t="shared" si="2"/>
        <v>11590</v>
      </c>
      <c r="J15" s="61">
        <f t="shared" si="2"/>
        <v>0</v>
      </c>
      <c r="K15" s="61">
        <f t="shared" si="2"/>
        <v>0</v>
      </c>
      <c r="L15" s="344">
        <f t="shared" si="1"/>
        <v>72980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4474.8</v>
      </c>
      <c r="J16" s="345">
        <f>+'справка №1-БАЛАНС'!G32</f>
        <v>0</v>
      </c>
      <c r="K16" s="60"/>
      <c r="L16" s="344">
        <f t="shared" si="1"/>
        <v>4474.8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10090</v>
      </c>
      <c r="G17" s="62">
        <f t="shared" si="3"/>
        <v>0</v>
      </c>
      <c r="H17" s="62">
        <f t="shared" si="3"/>
        <v>0</v>
      </c>
      <c r="I17" s="62">
        <f t="shared" si="3"/>
        <v>-11590</v>
      </c>
      <c r="J17" s="62">
        <f>J18+J19</f>
        <v>0</v>
      </c>
      <c r="K17" s="62">
        <f t="shared" si="3"/>
        <v>0</v>
      </c>
      <c r="L17" s="344">
        <f t="shared" si="1"/>
        <v>-1500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-1500</v>
      </c>
      <c r="J18" s="60"/>
      <c r="K18" s="60"/>
      <c r="L18" s="344">
        <f t="shared" si="1"/>
        <v>-1500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10090</v>
      </c>
      <c r="G19" s="60"/>
      <c r="H19" s="60"/>
      <c r="I19" s="60">
        <v>-10090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1103</v>
      </c>
      <c r="D28" s="60"/>
      <c r="E28" s="60"/>
      <c r="F28" s="60"/>
      <c r="G28" s="60"/>
      <c r="H28" s="60">
        <v>5665</v>
      </c>
      <c r="I28" s="60"/>
      <c r="J28" s="60"/>
      <c r="K28" s="60"/>
      <c r="L28" s="344">
        <f t="shared" si="1"/>
        <v>6768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13037</v>
      </c>
      <c r="D29" s="59">
        <f aca="true" t="shared" si="6" ref="D29:M29">D17+D20+D21+D24+D28+D27+D15+D16</f>
        <v>30837</v>
      </c>
      <c r="E29" s="59">
        <f t="shared" si="6"/>
        <v>0</v>
      </c>
      <c r="F29" s="59">
        <f t="shared" si="6"/>
        <v>27716</v>
      </c>
      <c r="G29" s="59">
        <f t="shared" si="6"/>
        <v>0</v>
      </c>
      <c r="H29" s="59">
        <f t="shared" si="6"/>
        <v>6658</v>
      </c>
      <c r="I29" s="59">
        <f t="shared" si="6"/>
        <v>4474.8</v>
      </c>
      <c r="J29" s="59">
        <f t="shared" si="6"/>
        <v>0</v>
      </c>
      <c r="K29" s="59">
        <f t="shared" si="6"/>
        <v>0</v>
      </c>
      <c r="L29" s="344">
        <f t="shared" si="1"/>
        <v>82722.8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13037</v>
      </c>
      <c r="D32" s="59">
        <f t="shared" si="7"/>
        <v>30837</v>
      </c>
      <c r="E32" s="59">
        <f t="shared" si="7"/>
        <v>0</v>
      </c>
      <c r="F32" s="59">
        <f t="shared" si="7"/>
        <v>27716</v>
      </c>
      <c r="G32" s="59">
        <f t="shared" si="7"/>
        <v>0</v>
      </c>
      <c r="H32" s="59">
        <f t="shared" si="7"/>
        <v>6658</v>
      </c>
      <c r="I32" s="59">
        <f t="shared" si="7"/>
        <v>4474.8</v>
      </c>
      <c r="J32" s="59">
        <f t="shared" si="7"/>
        <v>0</v>
      </c>
      <c r="K32" s="59">
        <f t="shared" si="7"/>
        <v>0</v>
      </c>
      <c r="L32" s="344">
        <f t="shared" si="1"/>
        <v>82722.8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8" t="s">
        <v>862</v>
      </c>
      <c r="B35" s="608"/>
      <c r="C35" s="608"/>
      <c r="D35" s="608"/>
      <c r="E35" s="608"/>
      <c r="F35" s="608"/>
      <c r="G35" s="608"/>
      <c r="H35" s="608"/>
      <c r="I35" s="608"/>
      <c r="J35" s="60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891</v>
      </c>
      <c r="B38" s="19"/>
      <c r="C38" s="15"/>
      <c r="D38" s="606" t="s">
        <v>522</v>
      </c>
      <c r="E38" s="606"/>
      <c r="F38" s="606"/>
      <c r="G38" s="606"/>
      <c r="H38" s="606"/>
      <c r="I38" s="606"/>
      <c r="J38" s="15" t="s">
        <v>857</v>
      </c>
      <c r="K38" s="15"/>
      <c r="L38" s="606"/>
      <c r="M38" s="606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232"/>
  <sheetViews>
    <sheetView zoomScale="75" zoomScaleNormal="75" zoomScalePageLayoutView="0" workbookViewId="0" topLeftCell="A1">
      <selection activeCell="K21" sqref="K21:M2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24" t="s">
        <v>384</v>
      </c>
      <c r="B2" s="625"/>
      <c r="C2" s="626" t="str">
        <f>'справка №1-БАЛАНС'!E3</f>
        <v>"ЕНЕМОНА"АД, КОЗЛОДУЙ</v>
      </c>
      <c r="D2" s="626"/>
      <c r="E2" s="626"/>
      <c r="F2" s="626"/>
      <c r="G2" s="626"/>
      <c r="H2" s="626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5"/>
    </row>
    <row r="3" spans="1:18" ht="15">
      <c r="A3" s="624" t="s">
        <v>5</v>
      </c>
      <c r="B3" s="625"/>
      <c r="C3" s="627" t="str">
        <f>'справка №1-БАЛАНС'!E5</f>
        <v>01.01.2010-31.12.2010 година</v>
      </c>
      <c r="D3" s="627"/>
      <c r="E3" s="627"/>
      <c r="F3" s="485"/>
      <c r="G3" s="485"/>
      <c r="H3" s="485"/>
      <c r="I3" s="485"/>
      <c r="J3" s="485"/>
      <c r="K3" s="485"/>
      <c r="L3" s="485"/>
      <c r="M3" s="614" t="s">
        <v>4</v>
      </c>
      <c r="N3" s="614"/>
      <c r="O3" s="482" t="str">
        <f>'справка №1-БАЛАНС'!H4</f>
        <v>1199-1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8" t="s">
        <v>464</v>
      </c>
      <c r="B5" s="619"/>
      <c r="C5" s="62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2" t="s">
        <v>530</v>
      </c>
      <c r="R5" s="612" t="s">
        <v>531</v>
      </c>
    </row>
    <row r="6" spans="1:18" s="100" customFormat="1" ht="48">
      <c r="A6" s="620"/>
      <c r="B6" s="621"/>
      <c r="C6" s="62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3"/>
      <c r="R6" s="61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2819</v>
      </c>
      <c r="E9" s="189">
        <v>2993</v>
      </c>
      <c r="F9" s="189"/>
      <c r="G9" s="74">
        <f>D9+E9-F9</f>
        <v>5812</v>
      </c>
      <c r="H9" s="65"/>
      <c r="I9" s="65"/>
      <c r="J9" s="74">
        <f aca="true" t="shared" si="0" ref="J9:J25">G9+H9-I9</f>
        <v>5812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5812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11015</v>
      </c>
      <c r="E10" s="189">
        <v>9102</v>
      </c>
      <c r="F10" s="189">
        <v>105</v>
      </c>
      <c r="G10" s="74">
        <f aca="true" t="shared" si="3" ref="G10:G39">D10+E10-F10</f>
        <v>20012</v>
      </c>
      <c r="H10" s="65"/>
      <c r="I10" s="65"/>
      <c r="J10" s="74">
        <f t="shared" si="0"/>
        <v>20012</v>
      </c>
      <c r="K10" s="65">
        <v>1558</v>
      </c>
      <c r="L10" s="65">
        <v>282</v>
      </c>
      <c r="M10" s="65">
        <v>14</v>
      </c>
      <c r="N10" s="74">
        <f aca="true" t="shared" si="4" ref="N10:N39">K10+L10-M10</f>
        <v>1826</v>
      </c>
      <c r="O10" s="65"/>
      <c r="P10" s="65"/>
      <c r="Q10" s="74">
        <f t="shared" si="1"/>
        <v>1826</v>
      </c>
      <c r="R10" s="74">
        <f t="shared" si="2"/>
        <v>18186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3868</v>
      </c>
      <c r="E11" s="189">
        <v>126</v>
      </c>
      <c r="F11" s="189">
        <v>1</v>
      </c>
      <c r="G11" s="74">
        <f t="shared" si="3"/>
        <v>3993</v>
      </c>
      <c r="H11" s="65"/>
      <c r="I11" s="65"/>
      <c r="J11" s="74">
        <f t="shared" si="0"/>
        <v>3993</v>
      </c>
      <c r="K11" s="65">
        <v>2194</v>
      </c>
      <c r="L11" s="65">
        <v>502</v>
      </c>
      <c r="M11" s="65"/>
      <c r="N11" s="74">
        <f t="shared" si="4"/>
        <v>2696</v>
      </c>
      <c r="O11" s="65"/>
      <c r="P11" s="65"/>
      <c r="Q11" s="74">
        <f t="shared" si="1"/>
        <v>2696</v>
      </c>
      <c r="R11" s="74">
        <f t="shared" si="2"/>
        <v>1297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3"/>
        <v>0</v>
      </c>
      <c r="H12" s="65"/>
      <c r="I12" s="65"/>
      <c r="J12" s="74">
        <f t="shared" si="0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1"/>
        <v>0</v>
      </c>
      <c r="R12" s="74">
        <f t="shared" si="2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6970</v>
      </c>
      <c r="E13" s="189">
        <v>34</v>
      </c>
      <c r="F13" s="189">
        <v>333</v>
      </c>
      <c r="G13" s="74">
        <f t="shared" si="3"/>
        <v>6671</v>
      </c>
      <c r="H13" s="65"/>
      <c r="I13" s="65"/>
      <c r="J13" s="74">
        <f t="shared" si="0"/>
        <v>6671</v>
      </c>
      <c r="K13" s="65">
        <v>1817</v>
      </c>
      <c r="L13" s="65">
        <v>502</v>
      </c>
      <c r="M13" s="65">
        <v>133</v>
      </c>
      <c r="N13" s="74">
        <f t="shared" si="4"/>
        <v>2186</v>
      </c>
      <c r="O13" s="65"/>
      <c r="P13" s="65"/>
      <c r="Q13" s="74">
        <f t="shared" si="1"/>
        <v>2186</v>
      </c>
      <c r="R13" s="74">
        <f t="shared" si="2"/>
        <v>4485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620</v>
      </c>
      <c r="E14" s="189">
        <v>38</v>
      </c>
      <c r="F14" s="189">
        <v>7</v>
      </c>
      <c r="G14" s="74">
        <f t="shared" si="3"/>
        <v>651</v>
      </c>
      <c r="H14" s="65"/>
      <c r="I14" s="65"/>
      <c r="J14" s="74">
        <f t="shared" si="0"/>
        <v>651</v>
      </c>
      <c r="K14" s="65">
        <v>253</v>
      </c>
      <c r="L14" s="65">
        <v>50</v>
      </c>
      <c r="M14" s="65">
        <v>2</v>
      </c>
      <c r="N14" s="74">
        <f t="shared" si="4"/>
        <v>301</v>
      </c>
      <c r="O14" s="65"/>
      <c r="P14" s="65"/>
      <c r="Q14" s="74">
        <f t="shared" si="1"/>
        <v>301</v>
      </c>
      <c r="R14" s="74">
        <f t="shared" si="2"/>
        <v>350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>
        <v>5760</v>
      </c>
      <c r="E15" s="457">
        <v>12322</v>
      </c>
      <c r="F15" s="457">
        <v>12115</v>
      </c>
      <c r="G15" s="74">
        <f t="shared" si="3"/>
        <v>5967</v>
      </c>
      <c r="H15" s="458"/>
      <c r="I15" s="458"/>
      <c r="J15" s="74">
        <f t="shared" si="0"/>
        <v>5967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1"/>
        <v>0</v>
      </c>
      <c r="R15" s="74">
        <f t="shared" si="2"/>
        <v>5967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>
        <v>2124</v>
      </c>
      <c r="E16" s="189">
        <v>107</v>
      </c>
      <c r="F16" s="189">
        <v>2</v>
      </c>
      <c r="G16" s="74">
        <f t="shared" si="3"/>
        <v>2229</v>
      </c>
      <c r="H16" s="65"/>
      <c r="I16" s="65"/>
      <c r="J16" s="74">
        <f t="shared" si="0"/>
        <v>2229</v>
      </c>
      <c r="K16" s="65">
        <v>843</v>
      </c>
      <c r="L16" s="65">
        <v>278</v>
      </c>
      <c r="M16" s="65">
        <v>1</v>
      </c>
      <c r="N16" s="74">
        <f t="shared" si="4"/>
        <v>1120</v>
      </c>
      <c r="O16" s="65"/>
      <c r="P16" s="65"/>
      <c r="Q16" s="74">
        <f aca="true" t="shared" si="5" ref="Q16:Q25">N16+O16-P16</f>
        <v>1120</v>
      </c>
      <c r="R16" s="74">
        <f aca="true" t="shared" si="6" ref="R16:R25">J16-Q16</f>
        <v>1109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33176</v>
      </c>
      <c r="E17" s="194">
        <f>SUM(E9:E16)</f>
        <v>24722</v>
      </c>
      <c r="F17" s="194">
        <f>SUM(F9:F16)</f>
        <v>12563</v>
      </c>
      <c r="G17" s="74">
        <f t="shared" si="3"/>
        <v>45335</v>
      </c>
      <c r="H17" s="75">
        <f>SUM(H9:H16)</f>
        <v>0</v>
      </c>
      <c r="I17" s="75">
        <f>SUM(I9:I16)</f>
        <v>0</v>
      </c>
      <c r="J17" s="74">
        <f t="shared" si="0"/>
        <v>45335</v>
      </c>
      <c r="K17" s="75">
        <f>SUM(K9:K16)</f>
        <v>6665</v>
      </c>
      <c r="L17" s="75">
        <f>SUM(L9:L16)</f>
        <v>1614</v>
      </c>
      <c r="M17" s="75">
        <f>SUM(M9:M16)</f>
        <v>150</v>
      </c>
      <c r="N17" s="74">
        <f t="shared" si="4"/>
        <v>8129</v>
      </c>
      <c r="O17" s="75">
        <f>SUM(O9:O16)</f>
        <v>0</v>
      </c>
      <c r="P17" s="75">
        <f>SUM(P9:P16)</f>
        <v>0</v>
      </c>
      <c r="Q17" s="74">
        <f t="shared" si="5"/>
        <v>8129</v>
      </c>
      <c r="R17" s="74">
        <f t="shared" si="6"/>
        <v>37206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1437</v>
      </c>
      <c r="E21" s="189">
        <v>9</v>
      </c>
      <c r="F21" s="189"/>
      <c r="G21" s="74">
        <f t="shared" si="3"/>
        <v>1446</v>
      </c>
      <c r="H21" s="65"/>
      <c r="I21" s="65"/>
      <c r="J21" s="74">
        <f t="shared" si="0"/>
        <v>1446</v>
      </c>
      <c r="K21" s="65">
        <v>704</v>
      </c>
      <c r="L21" s="65">
        <v>61</v>
      </c>
      <c r="M21" s="65"/>
      <c r="N21" s="74">
        <f t="shared" si="4"/>
        <v>765</v>
      </c>
      <c r="O21" s="65"/>
      <c r="P21" s="65"/>
      <c r="Q21" s="74">
        <f t="shared" si="5"/>
        <v>765</v>
      </c>
      <c r="R21" s="74">
        <f t="shared" si="6"/>
        <v>681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320</v>
      </c>
      <c r="E22" s="189">
        <v>19</v>
      </c>
      <c r="F22" s="189"/>
      <c r="G22" s="74">
        <f t="shared" si="3"/>
        <v>339</v>
      </c>
      <c r="H22" s="65"/>
      <c r="I22" s="65"/>
      <c r="J22" s="74">
        <f t="shared" si="0"/>
        <v>339</v>
      </c>
      <c r="K22" s="65">
        <v>194</v>
      </c>
      <c r="L22" s="65">
        <v>39</v>
      </c>
      <c r="M22" s="65"/>
      <c r="N22" s="74">
        <f t="shared" si="4"/>
        <v>233</v>
      </c>
      <c r="O22" s="65"/>
      <c r="P22" s="65"/>
      <c r="Q22" s="74">
        <f t="shared" si="5"/>
        <v>233</v>
      </c>
      <c r="R22" s="74">
        <f t="shared" si="6"/>
        <v>106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1757</v>
      </c>
      <c r="E25" s="190">
        <f aca="true" t="shared" si="7" ref="E25:P25">SUM(E21:E24)</f>
        <v>28</v>
      </c>
      <c r="F25" s="190">
        <f t="shared" si="7"/>
        <v>0</v>
      </c>
      <c r="G25" s="67">
        <f t="shared" si="3"/>
        <v>1785</v>
      </c>
      <c r="H25" s="66">
        <f t="shared" si="7"/>
        <v>0</v>
      </c>
      <c r="I25" s="66">
        <f t="shared" si="7"/>
        <v>0</v>
      </c>
      <c r="J25" s="67">
        <f t="shared" si="0"/>
        <v>1785</v>
      </c>
      <c r="K25" s="66">
        <f t="shared" si="7"/>
        <v>898</v>
      </c>
      <c r="L25" s="66">
        <f t="shared" si="7"/>
        <v>100</v>
      </c>
      <c r="M25" s="66">
        <f t="shared" si="7"/>
        <v>0</v>
      </c>
      <c r="N25" s="67">
        <f t="shared" si="4"/>
        <v>998</v>
      </c>
      <c r="O25" s="66">
        <f t="shared" si="7"/>
        <v>0</v>
      </c>
      <c r="P25" s="66">
        <f t="shared" si="7"/>
        <v>0</v>
      </c>
      <c r="Q25" s="67">
        <f t="shared" si="5"/>
        <v>998</v>
      </c>
      <c r="R25" s="67">
        <f t="shared" si="6"/>
        <v>787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18572</v>
      </c>
      <c r="E27" s="192">
        <f aca="true" t="shared" si="8" ref="E27:P27">SUM(E28:E31)</f>
        <v>1017</v>
      </c>
      <c r="F27" s="192">
        <f t="shared" si="8"/>
        <v>247</v>
      </c>
      <c r="G27" s="71">
        <f t="shared" si="3"/>
        <v>19342</v>
      </c>
      <c r="H27" s="70">
        <f t="shared" si="8"/>
        <v>0</v>
      </c>
      <c r="I27" s="70">
        <f t="shared" si="8"/>
        <v>0</v>
      </c>
      <c r="J27" s="71">
        <f aca="true" t="shared" si="9" ref="J27:J39">G27+H27-I27</f>
        <v>19342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19342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18321</v>
      </c>
      <c r="E28" s="189">
        <v>1017</v>
      </c>
      <c r="F28" s="189"/>
      <c r="G28" s="74">
        <f t="shared" si="3"/>
        <v>19338</v>
      </c>
      <c r="H28" s="65"/>
      <c r="I28" s="65"/>
      <c r="J28" s="74">
        <f t="shared" si="9"/>
        <v>19338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19338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251</v>
      </c>
      <c r="E30" s="189"/>
      <c r="F30" s="189">
        <v>247</v>
      </c>
      <c r="G30" s="74">
        <f t="shared" si="3"/>
        <v>4</v>
      </c>
      <c r="H30" s="72"/>
      <c r="I30" s="72"/>
      <c r="J30" s="74">
        <f t="shared" si="9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0</v>
      </c>
      <c r="E31" s="189"/>
      <c r="F31" s="189"/>
      <c r="G31" s="74">
        <f t="shared" si="3"/>
        <v>0</v>
      </c>
      <c r="H31" s="72"/>
      <c r="I31" s="72"/>
      <c r="J31" s="74">
        <f t="shared" si="9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18572</v>
      </c>
      <c r="E38" s="194">
        <f aca="true" t="shared" si="13" ref="E38:P38">E27+E32+E37</f>
        <v>1017</v>
      </c>
      <c r="F38" s="194">
        <f t="shared" si="13"/>
        <v>247</v>
      </c>
      <c r="G38" s="74">
        <f t="shared" si="3"/>
        <v>19342</v>
      </c>
      <c r="H38" s="75">
        <f t="shared" si="13"/>
        <v>0</v>
      </c>
      <c r="I38" s="75">
        <f t="shared" si="13"/>
        <v>0</v>
      </c>
      <c r="J38" s="74">
        <f t="shared" si="9"/>
        <v>19342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19342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3"/>
        <v>0</v>
      </c>
      <c r="H39" s="571"/>
      <c r="I39" s="571"/>
      <c r="J39" s="74">
        <f t="shared" si="9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10"/>
        <v>0</v>
      </c>
      <c r="R39" s="74">
        <f t="shared" si="11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53505</v>
      </c>
      <c r="E40" s="438">
        <f>E17+E18+E19+E25+E38+E39</f>
        <v>25767</v>
      </c>
      <c r="F40" s="438">
        <f aca="true" t="shared" si="14" ref="F40:R40">F17+F18+F19+F25+F38+F39</f>
        <v>12810</v>
      </c>
      <c r="G40" s="438">
        <f t="shared" si="14"/>
        <v>66462</v>
      </c>
      <c r="H40" s="438">
        <f t="shared" si="14"/>
        <v>0</v>
      </c>
      <c r="I40" s="438">
        <f t="shared" si="14"/>
        <v>0</v>
      </c>
      <c r="J40" s="438">
        <f t="shared" si="14"/>
        <v>66462</v>
      </c>
      <c r="K40" s="438">
        <f t="shared" si="14"/>
        <v>7563</v>
      </c>
      <c r="L40" s="438">
        <f t="shared" si="14"/>
        <v>1714</v>
      </c>
      <c r="M40" s="438">
        <f t="shared" si="14"/>
        <v>150</v>
      </c>
      <c r="N40" s="438">
        <f t="shared" si="14"/>
        <v>9127</v>
      </c>
      <c r="O40" s="438">
        <f t="shared" si="14"/>
        <v>0</v>
      </c>
      <c r="P40" s="438">
        <f t="shared" si="14"/>
        <v>0</v>
      </c>
      <c r="Q40" s="438">
        <f t="shared" si="14"/>
        <v>9127</v>
      </c>
      <c r="R40" s="438">
        <f t="shared" si="14"/>
        <v>57335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5"/>
      <c r="L44" s="615"/>
      <c r="M44" s="615"/>
      <c r="N44" s="615"/>
      <c r="O44" s="616" t="s">
        <v>782</v>
      </c>
      <c r="P44" s="617"/>
      <c r="Q44" s="617"/>
      <c r="R44" s="61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15"/>
  <sheetViews>
    <sheetView zoomScalePageLayoutView="0" workbookViewId="0" topLeftCell="A70">
      <selection activeCell="C104" sqref="C104:E10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1" t="s">
        <v>610</v>
      </c>
      <c r="B1" s="631"/>
      <c r="C1" s="631"/>
      <c r="D1" s="631"/>
      <c r="E1" s="631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34" t="str">
        <f>'справка №1-БАЛАНС'!E3</f>
        <v>"ЕНЕМОНА"АД, КОЗЛОДУЙ</v>
      </c>
      <c r="C3" s="635"/>
      <c r="D3" s="525" t="s">
        <v>2</v>
      </c>
      <c r="E3" s="107" t="str">
        <f>'справка №1-БАЛАНС'!H3</f>
        <v>,020955078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2" t="str">
        <f>'справка №1-БАЛАНС'!E5</f>
        <v>01.01.2010-31.12.2010 година</v>
      </c>
      <c r="C4" s="633"/>
      <c r="D4" s="526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f>'справка №1-БАЛАНС'!C47</f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1353</v>
      </c>
      <c r="D15" s="108"/>
      <c r="E15" s="120">
        <f t="shared" si="0"/>
        <v>1353</v>
      </c>
      <c r="F15" s="106"/>
    </row>
    <row r="16" spans="1:15" ht="12">
      <c r="A16" s="396" t="s">
        <v>630</v>
      </c>
      <c r="B16" s="397" t="s">
        <v>631</v>
      </c>
      <c r="C16" s="119">
        <f>+C17+C18</f>
        <v>18639</v>
      </c>
      <c r="D16" s="119">
        <f>+D17+D18</f>
        <v>0</v>
      </c>
      <c r="E16" s="120">
        <f t="shared" si="0"/>
        <v>18639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18639</v>
      </c>
      <c r="D18" s="108"/>
      <c r="E18" s="120">
        <f t="shared" si="0"/>
        <v>18639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19992</v>
      </c>
      <c r="D19" s="104">
        <f>D11+D15+D16</f>
        <v>0</v>
      </c>
      <c r="E19" s="118">
        <f>E11+E15+E16</f>
        <v>19992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6586</v>
      </c>
      <c r="D24" s="119">
        <f>SUM(D25:D27)</f>
        <v>6586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391</v>
      </c>
      <c r="D25" s="108">
        <v>391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6195</v>
      </c>
      <c r="D26" s="108">
        <v>6195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66193</v>
      </c>
      <c r="D28" s="108">
        <v>66193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14464</v>
      </c>
      <c r="D29" s="108">
        <v>14464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7544</v>
      </c>
      <c r="D30" s="108">
        <v>7544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1</v>
      </c>
      <c r="D37" s="108">
        <v>1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813</v>
      </c>
      <c r="D38" s="105">
        <f>SUM(D39:D42)</f>
        <v>813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813</v>
      </c>
      <c r="D42" s="108">
        <v>813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95601</v>
      </c>
      <c r="D43" s="104">
        <f>D24+D28+D29+D31+D30+D32+D33+D38</f>
        <v>95601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115593</v>
      </c>
      <c r="D44" s="103">
        <f>D43+D21+D19+D9</f>
        <v>95601</v>
      </c>
      <c r="E44" s="118">
        <f>E43+E21+E19+E9</f>
        <v>19992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17873</v>
      </c>
      <c r="D56" s="103">
        <f>D57+D59</f>
        <v>0</v>
      </c>
      <c r="E56" s="119">
        <f t="shared" si="1"/>
        <v>17873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17873</v>
      </c>
      <c r="D57" s="108"/>
      <c r="E57" s="119">
        <f t="shared" si="1"/>
        <v>17873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f>'справка №1-БАЛАНС'!G47</f>
        <v>0</v>
      </c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5205</v>
      </c>
      <c r="D64" s="108"/>
      <c r="E64" s="119">
        <f t="shared" si="1"/>
        <v>5205</v>
      </c>
      <c r="F64" s="110"/>
    </row>
    <row r="65" spans="1:6" ht="12">
      <c r="A65" s="396" t="s">
        <v>710</v>
      </c>
      <c r="B65" s="397" t="s">
        <v>711</v>
      </c>
      <c r="C65" s="109">
        <f>'справка №1-БАЛАНС'!G48</f>
        <v>5087</v>
      </c>
      <c r="D65" s="109"/>
      <c r="E65" s="119">
        <f t="shared" si="1"/>
        <v>5087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23078</v>
      </c>
      <c r="D66" s="103">
        <f>D52+D56+D61+D62+D63+D64</f>
        <v>0</v>
      </c>
      <c r="E66" s="119">
        <f t="shared" si="1"/>
        <v>23078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980</v>
      </c>
      <c r="D68" s="108"/>
      <c r="E68" s="119">
        <f t="shared" si="1"/>
        <v>980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9191</v>
      </c>
      <c r="D71" s="105">
        <f>SUM(D72:D74)</f>
        <v>9191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9191</v>
      </c>
      <c r="D72" s="108">
        <v>9191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39540</v>
      </c>
      <c r="D75" s="103">
        <f>D76+D78</f>
        <v>39540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39540</v>
      </c>
      <c r="D76" s="108">
        <v>39540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628</v>
      </c>
      <c r="D80" s="103">
        <f>SUM(D81:D84)</f>
        <v>628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628</v>
      </c>
      <c r="D84" s="108">
        <v>628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25403.2</v>
      </c>
      <c r="D85" s="104">
        <f>SUM(D86:D90)+D94</f>
        <v>25403.2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3130</v>
      </c>
      <c r="D86" s="108">
        <v>3130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12853</v>
      </c>
      <c r="D87" s="108">
        <v>12853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7804</v>
      </c>
      <c r="D88" s="108">
        <v>7804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682</v>
      </c>
      <c r="D89" s="108">
        <v>682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683.2</v>
      </c>
      <c r="D90" s="103">
        <f>SUM(D91:D93)</f>
        <v>683.2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497.20000000000005</v>
      </c>
      <c r="D91" s="108">
        <v>497.20000000000005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186</v>
      </c>
      <c r="D92" s="108">
        <v>186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251</v>
      </c>
      <c r="D94" s="108">
        <v>251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1350</v>
      </c>
      <c r="D95" s="108">
        <v>1350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76112.2</v>
      </c>
      <c r="D96" s="104">
        <f>D85+D80+D75+D71+D95</f>
        <v>76112.2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100170.2</v>
      </c>
      <c r="D97" s="104">
        <f>D96+D68+D66</f>
        <v>76112.2</v>
      </c>
      <c r="E97" s="104">
        <f>E96+E68+E66</f>
        <v>24058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534</v>
      </c>
      <c r="D104" s="108">
        <v>250</v>
      </c>
      <c r="E104" s="108">
        <v>64</v>
      </c>
      <c r="F104" s="125">
        <f>C104+D104-E104</f>
        <v>720</v>
      </c>
    </row>
    <row r="105" spans="1:16" ht="12">
      <c r="A105" s="412" t="s">
        <v>778</v>
      </c>
      <c r="B105" s="395" t="s">
        <v>779</v>
      </c>
      <c r="C105" s="103">
        <f>SUM(C102:C104)</f>
        <v>534</v>
      </c>
      <c r="D105" s="103">
        <f>SUM(D102:D104)</f>
        <v>250</v>
      </c>
      <c r="E105" s="103">
        <f>SUM(E102:E104)</f>
        <v>64</v>
      </c>
      <c r="F105" s="103">
        <f>SUM(F102:F104)</f>
        <v>720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0" t="s">
        <v>781</v>
      </c>
      <c r="B107" s="630"/>
      <c r="C107" s="630"/>
      <c r="D107" s="630"/>
      <c r="E107" s="630"/>
      <c r="F107" s="63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9" t="s">
        <v>889</v>
      </c>
      <c r="B109" s="629"/>
      <c r="C109" s="629" t="s">
        <v>382</v>
      </c>
      <c r="D109" s="629"/>
      <c r="E109" s="629"/>
      <c r="F109" s="62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8" t="s">
        <v>782</v>
      </c>
      <c r="D111" s="628"/>
      <c r="E111" s="628"/>
      <c r="F111" s="62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264"/>
  <sheetViews>
    <sheetView zoomScalePageLayoutView="0" workbookViewId="0" topLeftCell="A1">
      <selection activeCell="F16" sqref="F16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7"/>
      <c r="B2" s="578"/>
      <c r="C2" s="418"/>
      <c r="D2" s="421"/>
      <c r="E2" s="418"/>
      <c r="F2" s="418"/>
      <c r="G2" s="418"/>
      <c r="H2" s="416"/>
      <c r="I2" s="416"/>
    </row>
    <row r="3" spans="1:9" ht="12">
      <c r="A3" s="577"/>
      <c r="B3" s="578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36" t="str">
        <f>'справка №1-БАЛАНС'!E3</f>
        <v>"ЕНЕМОНА"АД, КОЗЛОДУЙ</v>
      </c>
      <c r="C4" s="636"/>
      <c r="D4" s="636"/>
      <c r="E4" s="636"/>
      <c r="F4" s="636"/>
      <c r="G4" s="642" t="s">
        <v>2</v>
      </c>
      <c r="H4" s="642"/>
      <c r="I4" s="500" t="str">
        <f>'справка №1-БАЛАНС'!H3</f>
        <v>,020955078</v>
      </c>
    </row>
    <row r="5" spans="1:9" ht="15">
      <c r="A5" s="501" t="s">
        <v>5</v>
      </c>
      <c r="B5" s="637" t="str">
        <f>'справка №1-БАЛАНС'!E5</f>
        <v>01.01.2010-31.12.2010 година</v>
      </c>
      <c r="C5" s="637"/>
      <c r="D5" s="637"/>
      <c r="E5" s="637"/>
      <c r="F5" s="637"/>
      <c r="G5" s="640" t="s">
        <v>4</v>
      </c>
      <c r="H5" s="641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19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>
        <v>19338</v>
      </c>
      <c r="G12" s="98"/>
      <c r="H12" s="98"/>
      <c r="I12" s="434">
        <f>F12+G12-H12</f>
        <v>19338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800</v>
      </c>
      <c r="C16" s="98"/>
      <c r="D16" s="98"/>
      <c r="E16" s="98"/>
      <c r="F16" s="98">
        <v>4</v>
      </c>
      <c r="G16" s="98"/>
      <c r="H16" s="98"/>
      <c r="I16" s="434">
        <f t="shared" si="0"/>
        <v>4</v>
      </c>
    </row>
    <row r="17" spans="1:9" s="520" customFormat="1" ht="12">
      <c r="A17" s="91" t="s">
        <v>565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19342</v>
      </c>
      <c r="G17" s="85">
        <f t="shared" si="1"/>
        <v>0</v>
      </c>
      <c r="H17" s="85">
        <f t="shared" si="1"/>
        <v>0</v>
      </c>
      <c r="I17" s="434">
        <f t="shared" si="0"/>
        <v>19342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889</v>
      </c>
      <c r="B30" s="639"/>
      <c r="C30" s="639"/>
      <c r="D30" s="459" t="s">
        <v>818</v>
      </c>
      <c r="E30" s="638"/>
      <c r="F30" s="638"/>
      <c r="G30" s="638"/>
      <c r="H30" s="420" t="s">
        <v>782</v>
      </c>
      <c r="I30" s="638"/>
      <c r="J30" s="638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54"/>
  <sheetViews>
    <sheetView zoomScalePageLayoutView="0" workbookViewId="0" topLeftCell="A130">
      <selection activeCell="C12" sqref="C12:D26"/>
    </sheetView>
  </sheetViews>
  <sheetFormatPr defaultColWidth="10.75390625" defaultRowHeight="12.75"/>
  <cols>
    <col min="1" max="1" width="42.00390625" style="509" customWidth="1"/>
    <col min="2" max="2" width="8.125" style="518" customWidth="1"/>
    <col min="3" max="3" width="19.75390625" style="509" customWidth="1"/>
    <col min="4" max="4" width="20.125" style="590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80"/>
      <c r="E1" s="507"/>
      <c r="F1" s="507"/>
    </row>
    <row r="2" spans="1:6" ht="12.75" customHeight="1">
      <c r="A2" s="145" t="s">
        <v>819</v>
      </c>
      <c r="B2" s="145"/>
      <c r="C2" s="145"/>
      <c r="D2" s="581"/>
      <c r="E2" s="145"/>
      <c r="F2" s="145"/>
    </row>
    <row r="3" spans="1:6" ht="12.75" customHeight="1">
      <c r="A3" s="145" t="s">
        <v>820</v>
      </c>
      <c r="B3" s="145"/>
      <c r="C3" s="145"/>
      <c r="D3" s="581"/>
      <c r="E3" s="145"/>
      <c r="F3" s="145"/>
    </row>
    <row r="4" spans="1:6" ht="12.75" customHeight="1">
      <c r="A4" s="25"/>
      <c r="B4" s="24"/>
      <c r="C4" s="25"/>
      <c r="D4" s="582"/>
      <c r="E4" s="25"/>
      <c r="F4" s="25"/>
    </row>
    <row r="5" spans="1:6" ht="12.75" customHeight="1">
      <c r="A5" s="26" t="s">
        <v>384</v>
      </c>
      <c r="B5" s="643" t="str">
        <f>'справка №1-БАЛАНС'!E3</f>
        <v>"ЕНЕМОНА"АД, КОЗЛОДУЙ</v>
      </c>
      <c r="C5" s="643"/>
      <c r="D5" s="643"/>
      <c r="E5" s="569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44" t="str">
        <f>'справка №1-БАЛАНС'!E5</f>
        <v>01.01.2010-31.12.2010 година</v>
      </c>
      <c r="C6" s="644"/>
      <c r="D6" s="583"/>
      <c r="E6" s="568" t="s">
        <v>4</v>
      </c>
      <c r="F6" s="510" t="str">
        <f>'справка №1-БАЛАНС'!H4</f>
        <v>1199-1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584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585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585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586"/>
      <c r="E10" s="429"/>
      <c r="F10" s="429"/>
    </row>
    <row r="11" spans="1:6" ht="18" customHeight="1">
      <c r="A11" s="36" t="s">
        <v>828</v>
      </c>
      <c r="B11" s="37"/>
      <c r="C11" s="429"/>
      <c r="D11" s="586"/>
      <c r="E11" s="429"/>
      <c r="F11" s="429"/>
    </row>
    <row r="12" spans="1:6" ht="14.25" customHeight="1">
      <c r="A12" s="574" t="s">
        <v>867</v>
      </c>
      <c r="B12" s="37"/>
      <c r="C12" s="441">
        <v>5499</v>
      </c>
      <c r="D12" s="587">
        <v>99.98</v>
      </c>
      <c r="E12" s="441"/>
      <c r="F12" s="443">
        <f>C12-E12</f>
        <v>5499</v>
      </c>
    </row>
    <row r="13" spans="1:6" ht="12.75">
      <c r="A13" s="36" t="s">
        <v>868</v>
      </c>
      <c r="B13" s="37"/>
      <c r="C13" s="441">
        <v>1781</v>
      </c>
      <c r="D13" s="587">
        <v>100</v>
      </c>
      <c r="E13" s="441"/>
      <c r="F13" s="443">
        <f aca="true" t="shared" si="0" ref="F13:F26">C13-E13</f>
        <v>1781</v>
      </c>
    </row>
    <row r="14" spans="1:6" ht="12.75">
      <c r="A14" s="36" t="s">
        <v>869</v>
      </c>
      <c r="B14" s="37"/>
      <c r="C14" s="441">
        <v>1558</v>
      </c>
      <c r="D14" s="587">
        <v>70.76</v>
      </c>
      <c r="E14" s="441"/>
      <c r="F14" s="443">
        <f t="shared" si="0"/>
        <v>1558</v>
      </c>
    </row>
    <row r="15" spans="1:6" ht="12.75">
      <c r="A15" s="36" t="s">
        <v>870</v>
      </c>
      <c r="B15" s="37"/>
      <c r="C15" s="441">
        <v>42</v>
      </c>
      <c r="D15" s="587">
        <v>84</v>
      </c>
      <c r="E15" s="441"/>
      <c r="F15" s="443">
        <f t="shared" si="0"/>
        <v>42</v>
      </c>
    </row>
    <row r="16" spans="1:6" ht="12.75">
      <c r="A16" s="36" t="s">
        <v>872</v>
      </c>
      <c r="B16" s="37"/>
      <c r="C16" s="441">
        <v>0</v>
      </c>
      <c r="D16" s="587"/>
      <c r="E16" s="441"/>
      <c r="F16" s="443">
        <f t="shared" si="0"/>
        <v>0</v>
      </c>
    </row>
    <row r="17" spans="1:6" ht="12.75">
      <c r="A17" s="36" t="s">
        <v>873</v>
      </c>
      <c r="B17" s="37"/>
      <c r="C17" s="441">
        <v>0</v>
      </c>
      <c r="D17" s="587"/>
      <c r="E17" s="441"/>
      <c r="F17" s="443">
        <f t="shared" si="0"/>
        <v>0</v>
      </c>
    </row>
    <row r="18" spans="1:6" ht="12.75">
      <c r="A18" s="36" t="s">
        <v>874</v>
      </c>
      <c r="B18" s="37"/>
      <c r="C18" s="441">
        <v>450</v>
      </c>
      <c r="D18" s="587">
        <v>69.23</v>
      </c>
      <c r="E18" s="441"/>
      <c r="F18" s="443">
        <f t="shared" si="0"/>
        <v>450</v>
      </c>
    </row>
    <row r="19" spans="1:6" ht="12.75">
      <c r="A19" s="36" t="s">
        <v>875</v>
      </c>
      <c r="B19" s="37"/>
      <c r="C19" s="441">
        <v>25</v>
      </c>
      <c r="D19" s="587">
        <v>50</v>
      </c>
      <c r="E19" s="441"/>
      <c r="F19" s="443">
        <f t="shared" si="0"/>
        <v>25</v>
      </c>
    </row>
    <row r="20" spans="1:6" ht="12.75">
      <c r="A20" s="36" t="s">
        <v>876</v>
      </c>
      <c r="B20" s="37"/>
      <c r="C20" s="441">
        <v>424</v>
      </c>
      <c r="D20" s="587">
        <v>99</v>
      </c>
      <c r="E20" s="441"/>
      <c r="F20" s="443">
        <f t="shared" si="0"/>
        <v>424</v>
      </c>
    </row>
    <row r="21" spans="1:6" ht="12.75">
      <c r="A21" s="36" t="s">
        <v>877</v>
      </c>
      <c r="B21" s="37"/>
      <c r="C21" s="441">
        <v>4</v>
      </c>
      <c r="D21" s="587">
        <v>80</v>
      </c>
      <c r="E21" s="441"/>
      <c r="F21" s="443">
        <f t="shared" si="0"/>
        <v>4</v>
      </c>
    </row>
    <row r="22" spans="1:6" ht="12.75">
      <c r="A22" s="36" t="s">
        <v>878</v>
      </c>
      <c r="B22" s="37"/>
      <c r="C22" s="441">
        <v>11</v>
      </c>
      <c r="D22" s="587">
        <v>90</v>
      </c>
      <c r="E22" s="441"/>
      <c r="F22" s="443">
        <f t="shared" si="0"/>
        <v>11</v>
      </c>
    </row>
    <row r="23" spans="1:6" ht="12.75">
      <c r="A23" s="36" t="s">
        <v>879</v>
      </c>
      <c r="B23" s="37"/>
      <c r="C23" s="441">
        <v>1536</v>
      </c>
      <c r="D23" s="587">
        <v>100</v>
      </c>
      <c r="E23" s="441"/>
      <c r="F23" s="443">
        <f t="shared" si="0"/>
        <v>1536</v>
      </c>
    </row>
    <row r="24" spans="1:6" ht="12.75">
      <c r="A24" s="36" t="s">
        <v>880</v>
      </c>
      <c r="B24" s="37"/>
      <c r="C24" s="441">
        <v>2050</v>
      </c>
      <c r="D24" s="587">
        <v>91.11</v>
      </c>
      <c r="E24" s="441"/>
      <c r="F24" s="443">
        <f t="shared" si="0"/>
        <v>2050</v>
      </c>
    </row>
    <row r="25" spans="1:6" ht="12" customHeight="1">
      <c r="A25" s="36" t="s">
        <v>881</v>
      </c>
      <c r="B25" s="37"/>
      <c r="C25" s="441">
        <v>45</v>
      </c>
      <c r="D25" s="587">
        <v>90</v>
      </c>
      <c r="E25" s="441"/>
      <c r="F25" s="443">
        <f t="shared" si="0"/>
        <v>45</v>
      </c>
    </row>
    <row r="26" spans="1:6" ht="12.75">
      <c r="A26" s="36" t="s">
        <v>882</v>
      </c>
      <c r="B26" s="37"/>
      <c r="C26" s="441">
        <v>5913</v>
      </c>
      <c r="D26" s="587">
        <v>77.36</v>
      </c>
      <c r="E26" s="441"/>
      <c r="F26" s="443">
        <f t="shared" si="0"/>
        <v>5913</v>
      </c>
    </row>
    <row r="27" spans="1:16" ht="11.25" customHeight="1">
      <c r="A27" s="38" t="s">
        <v>565</v>
      </c>
      <c r="B27" s="39" t="s">
        <v>831</v>
      </c>
      <c r="C27" s="429">
        <f>SUM(C12:C26)</f>
        <v>19338</v>
      </c>
      <c r="D27" s="586"/>
      <c r="E27" s="429">
        <f>SUM(E12:E26)</f>
        <v>0</v>
      </c>
      <c r="F27" s="442">
        <f>SUM(F12:F26)</f>
        <v>19338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832</v>
      </c>
      <c r="B28" s="40"/>
      <c r="C28" s="429"/>
      <c r="D28" s="586"/>
      <c r="E28" s="429"/>
      <c r="F28" s="442"/>
    </row>
    <row r="29" spans="1:6" ht="12.75">
      <c r="A29" s="36" t="s">
        <v>544</v>
      </c>
      <c r="B29" s="40"/>
      <c r="C29" s="441"/>
      <c r="D29" s="587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587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587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587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587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587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587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587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587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587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587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587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587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587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587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586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834</v>
      </c>
      <c r="B45" s="40"/>
      <c r="C45" s="429"/>
      <c r="D45" s="586"/>
      <c r="E45" s="429"/>
      <c r="F45" s="442"/>
    </row>
    <row r="46" spans="1:6" ht="12.75">
      <c r="A46" s="36" t="s">
        <v>886</v>
      </c>
      <c r="B46" s="40"/>
      <c r="C46" s="441">
        <v>4</v>
      </c>
      <c r="D46" s="587">
        <v>40</v>
      </c>
      <c r="E46" s="441"/>
      <c r="F46" s="443">
        <f>C46-E46</f>
        <v>4</v>
      </c>
    </row>
    <row r="47" spans="1:6" ht="12.75">
      <c r="A47" s="36" t="s">
        <v>887</v>
      </c>
      <c r="B47" s="40"/>
      <c r="C47" s="441"/>
      <c r="D47" s="587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587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587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587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587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587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587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587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587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587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587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587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587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587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4</v>
      </c>
      <c r="D61" s="586"/>
      <c r="E61" s="429">
        <f>SUM(E46:E60)</f>
        <v>0</v>
      </c>
      <c r="F61" s="442">
        <f>SUM(F46:F60)</f>
        <v>4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836</v>
      </c>
      <c r="B62" s="40"/>
      <c r="C62" s="429"/>
      <c r="D62" s="586"/>
      <c r="E62" s="429"/>
      <c r="F62" s="442"/>
    </row>
    <row r="63" spans="1:6" ht="12.75">
      <c r="A63" s="36" t="s">
        <v>871</v>
      </c>
      <c r="B63" s="40"/>
      <c r="C63" s="441"/>
      <c r="D63" s="587"/>
      <c r="E63" s="441"/>
      <c r="F63" s="443">
        <f>C63-E63</f>
        <v>0</v>
      </c>
    </row>
    <row r="64" spans="1:6" ht="12.75">
      <c r="A64" s="36" t="s">
        <v>883</v>
      </c>
      <c r="B64" s="40"/>
      <c r="C64" s="441"/>
      <c r="D64" s="587"/>
      <c r="E64" s="441"/>
      <c r="F64" s="443">
        <f aca="true" t="shared" si="3" ref="F64:F77">C64-E64</f>
        <v>0</v>
      </c>
    </row>
    <row r="65" spans="1:6" ht="12.75">
      <c r="A65" s="36" t="s">
        <v>884</v>
      </c>
      <c r="B65" s="40"/>
      <c r="C65" s="441"/>
      <c r="D65" s="587"/>
      <c r="E65" s="441"/>
      <c r="F65" s="443">
        <f t="shared" si="3"/>
        <v>0</v>
      </c>
    </row>
    <row r="66" spans="1:6" ht="12.75">
      <c r="A66" s="36" t="s">
        <v>885</v>
      </c>
      <c r="B66" s="40"/>
      <c r="C66" s="441"/>
      <c r="D66" s="587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587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587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587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587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587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587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587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587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587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587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587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586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839</v>
      </c>
      <c r="B79" s="39" t="s">
        <v>840</v>
      </c>
      <c r="C79" s="429">
        <f>C78+C61+C44+C27</f>
        <v>19342</v>
      </c>
      <c r="D79" s="586"/>
      <c r="E79" s="429">
        <f>E78+E61+E44+E27</f>
        <v>0</v>
      </c>
      <c r="F79" s="442">
        <f>F78+F61+F44+F27</f>
        <v>19342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841</v>
      </c>
      <c r="B80" s="39"/>
      <c r="C80" s="429"/>
      <c r="D80" s="586"/>
      <c r="E80" s="429"/>
      <c r="F80" s="442"/>
    </row>
    <row r="81" spans="1:6" ht="14.25" customHeight="1">
      <c r="A81" s="36" t="s">
        <v>828</v>
      </c>
      <c r="B81" s="40"/>
      <c r="C81" s="429"/>
      <c r="D81" s="586"/>
      <c r="E81" s="429"/>
      <c r="F81" s="442"/>
    </row>
    <row r="82" spans="1:6" ht="12.75">
      <c r="A82" s="36" t="s">
        <v>829</v>
      </c>
      <c r="B82" s="40"/>
      <c r="C82" s="441"/>
      <c r="D82" s="587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587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587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587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587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587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587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587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587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587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587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587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587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587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587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0</v>
      </c>
      <c r="D97" s="586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832</v>
      </c>
      <c r="B98" s="40"/>
      <c r="C98" s="429"/>
      <c r="D98" s="586"/>
      <c r="E98" s="429"/>
      <c r="F98" s="442"/>
    </row>
    <row r="99" spans="1:6" ht="12.75">
      <c r="A99" s="36" t="s">
        <v>544</v>
      </c>
      <c r="B99" s="40"/>
      <c r="C99" s="441"/>
      <c r="D99" s="587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587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587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587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587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587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587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587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587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587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587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587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587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587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587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586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834</v>
      </c>
      <c r="B115" s="40"/>
      <c r="C115" s="429"/>
      <c r="D115" s="586"/>
      <c r="E115" s="429"/>
      <c r="F115" s="442"/>
    </row>
    <row r="116" spans="1:6" ht="12.75">
      <c r="A116" s="36" t="s">
        <v>544</v>
      </c>
      <c r="B116" s="40"/>
      <c r="C116" s="441"/>
      <c r="D116" s="587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587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587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587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587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587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587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587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587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587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587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587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587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587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587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586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836</v>
      </c>
      <c r="B132" s="40"/>
      <c r="C132" s="429"/>
      <c r="D132" s="586"/>
      <c r="E132" s="429"/>
      <c r="F132" s="442"/>
    </row>
    <row r="133" spans="1:6" ht="12.75">
      <c r="A133" s="36"/>
      <c r="B133" s="40"/>
      <c r="C133" s="441"/>
      <c r="D133" s="587"/>
      <c r="E133" s="441"/>
      <c r="F133" s="443">
        <f>C133-E133</f>
        <v>0</v>
      </c>
    </row>
    <row r="134" spans="1:6" ht="12.75">
      <c r="A134" s="36"/>
      <c r="B134" s="40"/>
      <c r="C134" s="441"/>
      <c r="D134" s="587"/>
      <c r="E134" s="441"/>
      <c r="F134" s="443">
        <f aca="true" t="shared" si="7" ref="F134:F147">C134-E134</f>
        <v>0</v>
      </c>
    </row>
    <row r="135" spans="1:6" ht="12.75">
      <c r="A135" s="36"/>
      <c r="B135" s="40"/>
      <c r="C135" s="441"/>
      <c r="D135" s="587"/>
      <c r="E135" s="441"/>
      <c r="F135" s="443">
        <f t="shared" si="7"/>
        <v>0</v>
      </c>
    </row>
    <row r="136" spans="1:6" ht="12.75">
      <c r="A136" s="36"/>
      <c r="B136" s="40"/>
      <c r="C136" s="441"/>
      <c r="D136" s="587"/>
      <c r="E136" s="441"/>
      <c r="F136" s="443">
        <f t="shared" si="7"/>
        <v>0</v>
      </c>
    </row>
    <row r="137" spans="1:6" ht="12.75">
      <c r="A137" s="36"/>
      <c r="B137" s="37"/>
      <c r="C137" s="441"/>
      <c r="D137" s="587"/>
      <c r="E137" s="441"/>
      <c r="F137" s="443">
        <f t="shared" si="7"/>
        <v>0</v>
      </c>
    </row>
    <row r="138" spans="1:6" ht="12.75">
      <c r="A138" s="36"/>
      <c r="B138" s="37"/>
      <c r="C138" s="441"/>
      <c r="D138" s="587"/>
      <c r="E138" s="441"/>
      <c r="F138" s="443">
        <f t="shared" si="7"/>
        <v>0</v>
      </c>
    </row>
    <row r="139" spans="1:6" ht="12.75">
      <c r="A139" s="36"/>
      <c r="B139" s="37"/>
      <c r="C139" s="441"/>
      <c r="D139" s="587"/>
      <c r="E139" s="441"/>
      <c r="F139" s="443">
        <f t="shared" si="7"/>
        <v>0</v>
      </c>
    </row>
    <row r="140" spans="1:6" ht="12.75">
      <c r="A140" s="36"/>
      <c r="B140" s="37"/>
      <c r="C140" s="441"/>
      <c r="D140" s="587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587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587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587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587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587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587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587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586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586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588"/>
      <c r="E150" s="44"/>
      <c r="F150" s="44"/>
    </row>
    <row r="151" spans="1:6" ht="12.75">
      <c r="A151" s="452" t="s">
        <v>889</v>
      </c>
      <c r="B151" s="453"/>
      <c r="C151" s="645" t="s">
        <v>848</v>
      </c>
      <c r="D151" s="645"/>
      <c r="E151" s="645"/>
      <c r="F151" s="645"/>
    </row>
    <row r="152" spans="1:6" ht="12.75">
      <c r="A152" s="516"/>
      <c r="B152" s="517"/>
      <c r="C152" s="516"/>
      <c r="D152" s="589"/>
      <c r="E152" s="516"/>
      <c r="F152" s="516"/>
    </row>
    <row r="153" spans="1:6" ht="12.75">
      <c r="A153" s="516"/>
      <c r="B153" s="517"/>
      <c r="C153" s="645" t="s">
        <v>856</v>
      </c>
      <c r="D153" s="645"/>
      <c r="E153" s="645"/>
      <c r="F153" s="645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S.Aleksandrova</cp:lastModifiedBy>
  <cp:lastPrinted>2011-01-29T20:40:18Z</cp:lastPrinted>
  <dcterms:created xsi:type="dcterms:W3CDTF">2000-06-29T12:02:40Z</dcterms:created>
  <dcterms:modified xsi:type="dcterms:W3CDTF">2011-01-31T15:23:04Z</dcterms:modified>
  <cp:category/>
  <cp:version/>
  <cp:contentType/>
  <cp:contentStatus/>
</cp:coreProperties>
</file>