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10" tabRatio="573" firstSheet="2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<sst xmlns="http://schemas.openxmlformats.org/spreadsheetml/2006/main" count="1044" uniqueCount="869">
  <si>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</si>
  <si>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</si>
  <si>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</si>
  <si>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</si>
  <si>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</si>
  <si>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</si>
  <si>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</si>
  <si>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</si>
  <si>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</si>
  <si>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</si>
  <si>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</si>
  <si>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</si>
  <si>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</si>
  <si>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</si>
  <si>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</si>
  <si>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</si>
  <si>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</si>
  <si>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</si>
  <si>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</si>
  <si>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</si>
  <si>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</si>
  <si>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</si>
  <si>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</si>
  <si>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</si>
  <si>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</si>
  <si>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</si>
  <si>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</si>
  <si>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</si>
  <si>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</si>
  <si>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</si>
  <si>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</si>
  <si>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</si>
  <si>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</si>
  <si>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</si>
  <si>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</si>
  <si>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</si>
  <si>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</si>
  <si>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</si>
  <si>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</si>
  <si>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</si>
  <si>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</si>
  <si>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</si>
  <si>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</si>
  <si>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</si>
  <si>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</si>
  <si>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</si>
  <si>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</si>
  <si>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</si>
  <si>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</si>
  <si>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</si>
  <si>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</si>
  <si>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</si>
  <si>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</si>
  <si>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</si>
  <si>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</si>
  <si>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</si>
  <si>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</si>
  <si>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</si>
  <si>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</si>
  <si>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</si>
  <si>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</si>
  <si>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</si>
  <si>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</si>
  <si>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</si>
  <si>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</si>
  <si>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</si>
  <si>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</si>
  <si>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</si>
  <si>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</si>
  <si>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</si>
  <si>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</si>
  <si>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</si>
  <si>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</si>
  <si>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</si>
  <si>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</si>
  <si>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</si>
  <si>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</si>
  <si>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</si>
  <si>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</si>
  <si>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</si>
  <si>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</si>
  <si>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</si>
  <si>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</si>
  <si>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</si>
  <si>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</si>
  <si>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</si>
  <si>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</si>
  <si>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</si>
  <si>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</si>
  <si>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</si>
  <si>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</si>
  <si>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</si>
  <si>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</si>
  <si>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</si>
  <si>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</si>
  <si>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</si>
  <si>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</si>
  <si>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</si>
  <si>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</si>
  <si>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</si>
  <si>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</si>
  <si>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</si>
  <si>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</si>
  <si>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</si>
  <si>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</si>
  <si>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</si>
  <si>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</si>
  <si>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</si>
  <si>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</si>
  <si>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</si>
  <si>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</si>
  <si>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</si>
  <si>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</si>
  <si>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</si>
  <si>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</si>
  <si>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</si>
  <si>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</si>
  <si>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</si>
  <si>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</si>
  <si>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</si>
  <si>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</si>
  <si>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</si>
  <si>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</si>
  <si>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</si>
  <si>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</si>
  <si>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</si>
  <si>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</si>
  <si>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</si>
  <si>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</si>
  <si>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</si>
  <si>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</si>
  <si>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</si>
  <si>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</si>
  <si>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</si>
  <si>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</si>
  <si>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</si>
  <si>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</si>
  <si>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</si>
  <si>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</si>
  <si>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</si>
  <si>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</si>
  <si>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</si>
  <si>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</si>
  <si>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</si>
  <si>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</si>
  <si>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</si>
  <si>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</si>
  <si>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</si>
  <si>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</si>
  <si>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</si>
  <si>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</si>
  <si>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</si>
  <si>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</si>
  <si>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</si>
  <si>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</si>
  <si>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</si>
  <si>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</si>
  <si>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</si>
  <si>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</si>
  <si>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</si>
  <si>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</si>
  <si>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</si>
  <si>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</si>
  <si>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</si>
  <si>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</si>
  <si>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</si>
  <si>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</si>
  <si>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</si>
  <si>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</si>
  <si>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</si>
  <si>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</si>
  <si>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</si>
  <si>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</si>
  <si>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</si>
  <si>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</si>
  <si>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</si>
  <si>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</si>
  <si>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</si>
  <si>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</si>
  <si>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</si>
  <si>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</si>
  <si>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</si>
  <si>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</si>
  <si>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</si>
  <si>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</si>
  <si>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</si>
  <si>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</si>
  <si>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</si>
  <si>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</si>
  <si>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</si>
  <si>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</si>
  <si>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</si>
  <si>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</si>
  <si>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</si>
  <si>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</si>
  <si>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</si>
  <si>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</si>
  <si>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</si>
  <si>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</si>
  <si>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</si>
  <si>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</si>
  <si>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</si>
  <si>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</si>
  <si>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</si>
  <si>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</si>
  <si>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</si>
  <si>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</si>
  <si>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</si>
  <si>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</si>
  <si>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</si>
  <si>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</si>
  <si>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</si>
  <si>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</si>
  <si>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</si>
  <si>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</si>
  <si>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</si>
  <si>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</si>
  <si>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</si>
  <si>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</si>
  <si>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</si>
  <si>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</si>
  <si>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</si>
  <si>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</si>
  <si>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</si>
  <si>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</si>
  <si>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</si>
  <si>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</si>
  <si>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</si>
  <si>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</si>
  <si>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</si>
  <si>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</si>
  <si>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</si>
  <si>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</si>
  <si>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</si>
  <si>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</si>
  <si>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</si>
  <si>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</si>
  <si>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</si>
  <si>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</si>
  <si>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</si>
  <si>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</si>
  <si>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</si>
  <si>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</si>
  <si>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</si>
  <si>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</si>
  <si>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</si>
  <si>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</si>
  <si>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</si>
  <si>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</si>
  <si>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</si>
  <si>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</si>
  <si>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</si>
  <si>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</si>
  <si>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</si>
  <si>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</si>
  <si>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</si>
  <si>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</si>
  <si>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</si>
  <si>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</si>
  <si>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</si>
  <si>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</si>
  <si>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</si>
  <si>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</si>
  <si>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</si>
  <si>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</si>
  <si>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</si>
  <si>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</si>
  <si>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</si>
  <si>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</si>
  <si>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</si>
  <si>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</si>
  <si>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</si>
  <si>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</si>
  <si>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</si>
  <si>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</si>
  <si>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</si>
  <si>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</si>
  <si>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</si>
  <si>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</si>
  <si>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</si>
  <si>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</si>
  <si>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</si>
  <si>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</si>
  <si>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</si>
  <si>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</si>
  <si>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</si>
  <si>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</si>
  <si>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</si>
  <si>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</si>
  <si>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</si>
  <si>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</si>
  <si>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</si>
  <si>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</si>
  <si>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</si>
  <si>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</si>
  <si>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</si>
  <si>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</si>
  <si>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</si>
  <si>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</si>
  <si>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</si>
  <si>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</si>
  <si>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</si>
  <si>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</si>
  <si>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</si>
  <si>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</si>
  <si>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</si>
  <si>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</si>
  <si>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</si>
  <si>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</si>
  <si>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</si>
  <si>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</si>
  <si>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</si>
  <si>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</si>
  <si>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</si>
  <si>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</si>
  <si>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</si>
  <si>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</si>
  <si>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</si>
  <si>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</si>
  <si>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</si>
  <si>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</si>
  <si>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</si>
  <si>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</si>
  <si>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</si>
  <si>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</si>
  <si>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</si>
  <si>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</si>
  <si>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</si>
  <si>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</si>
  <si>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</si>
  <si>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</si>
  <si>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</si>
  <si>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</si>
  <si>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</si>
  <si>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</si>
  <si>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</si>
  <si>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</si>
  <si>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</si>
  <si>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</si>
  <si>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</si>
  <si>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</si>
  <si>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</si>
  <si>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</si>
  <si>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</si>
  <si>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</si>
  <si>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</si>
  <si>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</si>
  <si>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</si>
  <si>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</si>
  <si>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</si>
  <si>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</si>
  <si>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</si>
  <si>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</si>
  <si>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</si>
  <si>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</si>
  <si>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</si>
  <si>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</si>
  <si>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</si>
  <si>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</si>
  <si>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</si>
  <si>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</si>
  <si>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</si>
  <si>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</si>
  <si>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</si>
  <si>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</si>
  <si>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</si>
  <si>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</si>
  <si>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</si>
  <si>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</si>
  <si>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</si>
  <si>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</si>
  <si>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</si>
  <si>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</si>
  <si>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</si>
  <si>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</si>
  <si>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</si>
  <si>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</si>
  <si>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</si>
  <si>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</si>
  <si>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</si>
  <si>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</si>
  <si>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</si>
  <si>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</si>
  <si>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</si>
  <si>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</si>
  <si>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</si>
  <si>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</si>
  <si>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</si>
  <si>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</si>
  <si>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</si>
  <si>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</si>
  <si>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</si>
  <si>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</si>
  <si>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</si>
  <si>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</si>
  <si>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</si>
  <si>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</si>
  <si>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</si>
  <si>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</si>
  <si>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</si>
  <si>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</si>
  <si>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</si>
  <si>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</si>
  <si>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</si>
  <si>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</si>
  <si>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</si>
  <si>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</si>
  <si>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</si>
  <si>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</si>
  <si>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</si>
  <si>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</si>
  <si>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</si>
  <si>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</si>
  <si>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</si>
  <si>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</si>
  <si>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</si>
  <si>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</si>
  <si>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</si>
  <si>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</si>
  <si>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</si>
  <si>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</si>
  <si>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</si>
  <si>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</si>
  <si>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</si>
  <si>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</si>
  <si>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</si>
  <si>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</si>
  <si>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</si>
  <si>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</si>
  <si>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</si>
  <si>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</si>
  <si>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</si>
  <si>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</si>
  <si>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</si>
  <si>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</si>
  <si>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</si>
  <si>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</si>
  <si>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</si>
  <si>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</si>
  <si>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</si>
  <si>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</si>
  <si>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</si>
  <si>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</si>
  <si>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</si>
  <si>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</si>
  <si>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</si>
  <si>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</si>
  <si>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</si>
  <si>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</si>
  <si>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</si>
  <si>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</si>
  <si>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</si>
  <si>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</si>
  <si>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</si>
  <si>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</si>
  <si>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</si>
  <si>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</si>
  <si>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</si>
  <si>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</si>
  <si>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</si>
  <si>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</si>
  <si>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</si>
  <si>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</si>
  <si>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</si>
  <si>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</si>
  <si>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</si>
  <si>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</si>
  <si>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</si>
  <si>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</si>
  <si>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</si>
  <si>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</si>
  <si>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</si>
  <si>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</si>
  <si>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</si>
  <si>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</si>
  <si>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</si>
  <si>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</si>
  <si>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</si>
  <si>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</si>
  <si>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</si>
  <si>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</si>
  <si>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</si>
  <si>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</si>
  <si>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</si>
  <si>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</si>
  <si>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</si>
  <si>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</si>
  <si>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</si>
  <si>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</si>
  <si>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</si>
  <si>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</si>
  <si>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</si>
  <si>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</si>
  <si>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</si>
  <si>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</si>
  <si>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</si>
  <si>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</si>
  <si>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</si>
  <si>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</si>
  <si>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</si>
  <si>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</si>
  <si>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</si>
  <si>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</si>
  <si>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</si>
  <si>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</si>
  <si>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</si>
  <si>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</si>
  <si>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</si>
  <si>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</si>
  <si>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</si>
  <si>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</si>
  <si>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</si>
  <si>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</si>
  <si>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</si>
  <si>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</si>
  <si>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</si>
  <si>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</si>
  <si>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</si>
  <si>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</si>
  <si>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</si>
  <si>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</si>
  <si>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</si>
  <si>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</si>
  <si>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</si>
  <si>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</si>
  <si>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</si>
  <si>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</si>
  <si>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</si>
  <si>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</si>
  <si>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</si>
  <si>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</si>
  <si>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</si>
  <si>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</si>
  <si>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</si>
  <si>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</si>
  <si>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</si>
  <si>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</si>
  <si>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</si>
  <si>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</si>
  <si>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</si>
  <si>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</si>
  <si>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</si>
  <si>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</si>
  <si>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</si>
  <si>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</si>
  <si>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</si>
  <si>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</si>
  <si>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</si>
  <si>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</si>
  <si>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</si>
  <si>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</si>
  <si>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</si>
  <si>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</si>
  <si>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</si>
  <si>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</si>
  <si>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</si>
  <si>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</si>
  <si>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</si>
  <si>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</si>
  <si>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</si>
  <si>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</si>
  <si>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</si>
  <si>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</si>
  <si>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</si>
  <si>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</si>
  <si>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</si>
  <si>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</si>
  <si>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</si>
  <si>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</si>
  <si>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</si>
  <si>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</si>
  <si>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</si>
  <si>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</si>
  <si>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</si>
  <si>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</si>
  <si>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</si>
  <si>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</si>
  <si>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</si>
  <si>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</si>
  <si>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</si>
  <si>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</si>
  <si>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</si>
  <si>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</si>
  <si>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</si>
  <si>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</si>
  <si>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</si>
  <si>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</si>
  <si>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</si>
  <si>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</si>
  <si>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</si>
  <si>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</si>
  <si>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</si>
  <si>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</si>
  <si>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</si>
  <si>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</si>
  <si>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</si>
  <si>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</si>
  <si>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</si>
  <si>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</si>
  <si>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</si>
  <si>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</si>
  <si>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</si>
  <si>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</si>
  <si>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</si>
  <si>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</si>
  <si>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</si>
  <si>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</si>
  <si>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</si>
  <si>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</si>
  <si>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</si>
  <si>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</si>
  <si>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</si>
  <si>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</si>
  <si>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</si>
  <si>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</si>
  <si>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</si>
  <si>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</si>
  <si>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</si>
  <si>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</si>
  <si>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</si>
  <si>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</si>
  <si>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</si>
  <si>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</si>
  <si>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</si>
  <si>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</si>
  <si>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</si>
  <si>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</si>
  <si>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</si>
  <si>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</si>
  <si>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</si>
  <si>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</si>
  <si>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</si>
  <si>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</si>
  <si>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</si>
  <si>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</si>
  <si>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</si>
  <si>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</si>
  <si>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</si>
  <si>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</si>
  <si>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</si>
  <si>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</si>
  <si>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</si>
  <si>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</si>
  <si>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</si>
  <si>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</si>
  <si>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</si>
  <si>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</si>
  <si>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</si>
  <si>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</si>
  <si>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</si>
  <si>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</si>
  <si>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</si>
  <si>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</si>
  <si>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</si>
  <si>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</si>
  <si>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</si>
  <si>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</si>
  <si>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</si>
  <si>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</si>
  <si>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</si>
  <si>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</si>
  <si>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</si>
  <si>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</si>
  <si>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</si>
  <si>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</si>
  <si>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</si>
  <si>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</si>
  <si>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</si>
  <si>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</si>
  <si>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</si>
  <si>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</si>
  <si>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</si>
  <si>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</si>
  <si>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</si>
  <si>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</si>
  <si>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</si>
  <si>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</si>
  <si>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</si>
  <si>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</si>
  <si>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</si>
  <si>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</si>
  <si>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</si>
  <si>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</si>
  <si>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</si>
  <si>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</si>
  <si>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</si>
  <si>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</si>
  <si>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</si>
  <si>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</si>
  <si>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</si>
  <si>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</si>
  <si>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</si>
  <si>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</si>
  <si>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</si>
  <si>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</si>
  <si>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</si>
  <si>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</si>
  <si>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</si>
  <si>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</si>
  <si>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</si>
  <si>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</si>
  <si>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</si>
  <si>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</si>
  <si>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</si>
  <si>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</si>
  <si>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</si>
  <si>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</si>
  <si>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</si>
  <si>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</si>
  <si>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</si>
  <si>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</si>
  <si>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</si>
  <si>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</si>
  <si>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</si>
  <si>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</si>
  <si>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</si>
  <si>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</si>
  <si>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</si>
  <si>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</si>
  <si>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</si>
  <si>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</si>
  <si>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</si>
  <si>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</si>
  <si>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</si>
  <si>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</si>
  <si>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</si>
  <si>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</si>
  <si>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</si>
  <si>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</si>
  <si>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</si>
  <si>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</si>
  <si>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</si>
  <si>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</si>
  <si>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</si>
  <si>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</si>
  <si>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</si>
  <si>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</si>
  <si>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</si>
  <si>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</si>
  <si>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</si>
  <si>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</si>
  <si>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</si>
  <si>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</si>
  <si>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</si>
  <si>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</si>
  <si>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</si>
  <si>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</si>
  <si>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</si>
  <si>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</si>
  <si>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</si>
  <si>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</si>
  <si>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</si>
  <si>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</si>
  <si>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</si>
  <si>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</si>
  <si>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</si>
  <si>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</si>
  <si>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</si>
  <si>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</si>
  <si>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</si>
  <si>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</si>
  <si>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</si>
  <si>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</si>
  <si>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</si>
  <si>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</si>
  <si>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</si>
  <si>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</si>
  <si>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</si>
  <si>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</si>
  <si>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</si>
  <si>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</si>
  <si>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</si>
  <si>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</si>
  <si>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</si>
  <si>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</si>
  <si>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</si>
  <si>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</si>
  <si>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</si>
  <si>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</si>
  <si>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</si>
  <si>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</si>
  <si>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</si>
  <si>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</si>
  <si>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</si>
  <si>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</si>
  <si>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</si>
  <si>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</si>
  <si>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</si>
  <si>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</si>
  <si>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</si>
  <si>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</si>
  <si>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</si>
  <si>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</si>
  <si>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</si>
  <si>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</si>
  <si>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</si>
  <si>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</si>
  <si>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</si>
  <si>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</si>
  <si>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</si>
  <si>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</si>
  <si>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</si>
  <si>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</si>
  <si>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</si>
  <si>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</si>
  <si>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</si>
  <si>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</si>
  <si>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</si>
  <si>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</si>
  <si>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</si>
  <si>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</si>
  <si>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</si>
  <si>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</si>
  <si>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</si>
  <si>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</si>
  <si>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</si>
  <si>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</si>
  <si>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</si>
  <si>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</si>
  <si>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</si>
  <si>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</si>
  <si>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</si>
  <si>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</si>
  <si>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</si>
  <si>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</si>
  <si>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</si>
  <si>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</si>
  <si>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</si>
  <si>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</si>
  <si>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</si>
  <si>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</si>
  <si>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</si>
  <si>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</si>
  <si>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</si>
  <si>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</si>
  <si>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</si>
  <si>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</si>
  <si>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</si>
  <si>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</si>
  <si>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</si>
  <si>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</si>
  <si>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</si>
  <si>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</si>
  <si>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</si>
  <si>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</si>
  <si>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</si>
  <si>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</si>
  <si>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</si>
  <si>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</si>
  <si>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</si>
  <si>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</si>
  <si>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</si>
  <si>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</si>
  <si>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</si>
  <si>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</si>
  <si>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</si>
  <si>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</si>
  <si>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</si>
  <si>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1199-1</t>
  </si>
  <si>
    <t xml:space="preserve">Вид на отчета: консолидиран : </t>
  </si>
  <si>
    <t xml:space="preserve">Дата на съставяне:                       </t>
  </si>
  <si>
    <t>Дата на съставяне:</t>
  </si>
  <si>
    <t xml:space="preserve"> КОНСОЛИДИРАН</t>
  </si>
  <si>
    <t>01.01.2013-31.12.2013</t>
  </si>
  <si>
    <t>ИКОНОМИЧЕСКА ГРУПА "ЕНЕМОНА"АД</t>
  </si>
  <si>
    <t xml:space="preserve">Дата  на съставяне:  10.03.2015 г.                                                                                                          </t>
  </si>
  <si>
    <t>Дата на съставяне:   10.03.2015 г.</t>
  </si>
  <si>
    <t xml:space="preserve"> 10.3.2015</t>
  </si>
  <si>
    <t xml:space="preserve">Дата на съставяне:        10.03.2015 г.                           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</si>
</sst>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8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3" fontId="11" fillId="0" borderId="10" xfId="66" applyNumberFormat="1" applyFont="1" applyFill="1" applyBorder="1" applyAlignment="1" applyProtection="1">
      <alignment vertical="center"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14" fontId="10" fillId="0" borderId="0" xfId="61" applyNumberFormat="1" applyFont="1" applyProtection="1">
      <alignment/>
      <protection locked="0"/>
    </xf>
    <xf numFmtId="3" fontId="9" fillId="0" borderId="10" xfId="65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Fill="1" applyBorder="1" applyAlignment="1" applyProtection="1">
      <alignment vertical="top" wrapText="1"/>
      <protection locked="0"/>
    </xf>
    <xf numFmtId="14" fontId="11" fillId="0" borderId="0" xfId="62" applyNumberFormat="1" applyFont="1" applyProtection="1">
      <alignment/>
      <protection locked="0"/>
    </xf>
    <xf numFmtId="14" fontId="11" fillId="0" borderId="0" xfId="58" applyNumberFormat="1" applyFont="1" applyAlignment="1" applyProtection="1">
      <alignment horizontal="left" vertical="center" wrapText="1"/>
      <protection locked="0"/>
    </xf>
    <xf numFmtId="14" fontId="5" fillId="0" borderId="0" xfId="60" applyNumberFormat="1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.kostadinova\Documents\Consolidation_31.12.2013_09.07.201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ournals"/>
      <sheetName val="Засечки"/>
      <sheetName val="A&amp;Lbalans"/>
      <sheetName val="SOFP (2)"/>
      <sheetName val="SOCE_KFN"/>
      <sheetName val="SOCI_KFN"/>
      <sheetName val="SOFP_KFN"/>
      <sheetName val="SOFP"/>
      <sheetName val="SOCI"/>
      <sheetName val="equity"/>
      <sheetName val="EU assets for sale"/>
      <sheetName val="IFRS 5"/>
      <sheetName val="Journals FWD"/>
      <sheetName val="2011consol_journals"/>
      <sheetName val="PY consol journals"/>
      <sheetName val="малцинствено участие"/>
      <sheetName val="eliminations SOFP"/>
      <sheetName val="eliminations segment"/>
      <sheetName val="eliminations SOCI"/>
      <sheetName val="Equity movements"/>
      <sheetName val="1"/>
      <sheetName val="2"/>
      <sheetName val="3"/>
      <sheetName val="4"/>
      <sheetName val="5"/>
      <sheetName val="6"/>
      <sheetName val="7"/>
      <sheetName val="8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7"/>
      <sheetName val="21"/>
      <sheetName val="22"/>
      <sheetName val="23"/>
      <sheetName val="IAS 19"/>
      <sheetName val="RP"/>
    </sheetNames>
    <sheetDataSet>
      <sheetData sheetId="7">
        <row r="24">
          <cell r="X24">
            <v>559</v>
          </cell>
        </row>
        <row r="47">
          <cell r="X47">
            <v>6725</v>
          </cell>
        </row>
        <row r="48">
          <cell r="X48">
            <v>87</v>
          </cell>
        </row>
        <row r="49">
          <cell r="X49">
            <v>0</v>
          </cell>
        </row>
        <row r="50">
          <cell r="X50">
            <v>2619</v>
          </cell>
        </row>
        <row r="57">
          <cell r="X57">
            <v>2494</v>
          </cell>
        </row>
      </sheetData>
      <sheetData sheetId="30">
        <row r="3">
          <cell r="R3">
            <v>8561</v>
          </cell>
        </row>
        <row r="4">
          <cell r="R4">
            <v>1452</v>
          </cell>
        </row>
        <row r="5">
          <cell r="R5">
            <v>11</v>
          </cell>
        </row>
        <row r="6">
          <cell r="R6">
            <v>156</v>
          </cell>
        </row>
      </sheetData>
      <sheetData sheetId="31">
        <row r="6">
          <cell r="R6">
            <v>1</v>
          </cell>
        </row>
      </sheetData>
      <sheetData sheetId="33">
        <row r="7">
          <cell r="R7">
            <v>11304</v>
          </cell>
        </row>
      </sheetData>
      <sheetData sheetId="34">
        <row r="4">
          <cell r="R4">
            <v>767</v>
          </cell>
        </row>
        <row r="5">
          <cell r="R5">
            <v>452</v>
          </cell>
        </row>
        <row r="6">
          <cell r="R6">
            <v>220</v>
          </cell>
        </row>
      </sheetData>
      <sheetData sheetId="35">
        <row r="34">
          <cell r="C34">
            <v>5800</v>
          </cell>
          <cell r="D34">
            <v>14872.83283</v>
          </cell>
          <cell r="E34">
            <v>1650.6859599999998</v>
          </cell>
          <cell r="F34">
            <v>2480.0422900000003</v>
          </cell>
          <cell r="G34">
            <v>1006.22089</v>
          </cell>
        </row>
      </sheetData>
      <sheetData sheetId="36">
        <row r="30">
          <cell r="C30">
            <v>502</v>
          </cell>
          <cell r="D30">
            <v>34</v>
          </cell>
        </row>
      </sheetData>
      <sheetData sheetId="37">
        <row r="6">
          <cell r="R6">
            <v>2146</v>
          </cell>
        </row>
      </sheetData>
      <sheetData sheetId="40">
        <row r="4">
          <cell r="R4">
            <v>23369</v>
          </cell>
        </row>
        <row r="8">
          <cell r="R8">
            <v>2386</v>
          </cell>
        </row>
        <row r="9">
          <cell r="R9">
            <v>4803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186"/>
  <sheetViews>
    <sheetView workbookViewId="0" topLeftCell="A73">
      <selection activeCell="A99" sqref="A9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3" t="s">
        <v>1</v>
      </c>
      <c r="B3" s="584"/>
      <c r="C3" s="584"/>
      <c r="D3" s="584"/>
      <c r="E3" s="462" t="s">
        <v>864</v>
      </c>
      <c r="F3" s="217" t="s">
        <v>2</v>
      </c>
      <c r="G3" s="172"/>
      <c r="H3" s="461"/>
    </row>
    <row r="4" spans="1:8" ht="15">
      <c r="A4" s="583" t="s">
        <v>859</v>
      </c>
      <c r="B4" s="589"/>
      <c r="C4" s="589"/>
      <c r="D4" s="589"/>
      <c r="E4" s="504" t="s">
        <v>862</v>
      </c>
      <c r="F4" s="585" t="s">
        <v>3</v>
      </c>
      <c r="G4" s="586"/>
      <c r="H4" s="461" t="s">
        <v>858</v>
      </c>
    </row>
    <row r="5" spans="1:8" ht="15">
      <c r="A5" s="583" t="s">
        <v>4</v>
      </c>
      <c r="B5" s="584"/>
      <c r="C5" s="584"/>
      <c r="D5" s="584"/>
      <c r="E5" s="505" t="s">
        <v>863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579">
        <f>'[1]17'!C34</f>
        <v>5800</v>
      </c>
      <c r="D11" s="151">
        <v>6158</v>
      </c>
      <c r="E11" s="237" t="s">
        <v>21</v>
      </c>
      <c r="F11" s="242" t="s">
        <v>22</v>
      </c>
      <c r="G11" s="152">
        <v>13037</v>
      </c>
      <c r="H11" s="152">
        <v>13037</v>
      </c>
    </row>
    <row r="12" spans="1:8" ht="15">
      <c r="A12" s="235" t="s">
        <v>23</v>
      </c>
      <c r="B12" s="241" t="s">
        <v>24</v>
      </c>
      <c r="C12" s="579">
        <f>'[1]17'!D34</f>
        <v>14872.83283</v>
      </c>
      <c r="D12" s="151">
        <v>24428</v>
      </c>
      <c r="E12" s="237" t="s">
        <v>25</v>
      </c>
      <c r="F12" s="242" t="s">
        <v>26</v>
      </c>
      <c r="G12" s="153">
        <v>11934</v>
      </c>
      <c r="H12" s="153">
        <v>11934</v>
      </c>
    </row>
    <row r="13" spans="1:8" ht="15">
      <c r="A13" s="235" t="s">
        <v>27</v>
      </c>
      <c r="B13" s="241" t="s">
        <v>28</v>
      </c>
      <c r="C13" s="579">
        <f>'[1]17'!E34</f>
        <v>1650.6859599999998</v>
      </c>
      <c r="D13" s="151">
        <v>2482</v>
      </c>
      <c r="E13" s="237" t="s">
        <v>29</v>
      </c>
      <c r="F13" s="242" t="s">
        <v>30</v>
      </c>
      <c r="G13" s="153">
        <v>1103</v>
      </c>
      <c r="H13" s="153">
        <v>1103</v>
      </c>
    </row>
    <row r="14" spans="1:8" ht="15">
      <c r="A14" s="235" t="s">
        <v>31</v>
      </c>
      <c r="B14" s="241" t="s">
        <v>32</v>
      </c>
      <c r="C14" s="579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579">
        <f>'[1]17'!F34</f>
        <v>2480.0422900000003</v>
      </c>
      <c r="D15" s="151">
        <v>5337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579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579">
        <v>6439</v>
      </c>
      <c r="D17" s="151">
        <v>6328</v>
      </c>
      <c r="E17" s="243" t="s">
        <v>45</v>
      </c>
      <c r="F17" s="245" t="s">
        <v>46</v>
      </c>
      <c r="G17" s="154">
        <f>G11+G14+G15+G16</f>
        <v>13037</v>
      </c>
      <c r="H17" s="154">
        <f>H11+H14+H15+H16</f>
        <v>13037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579">
        <f>'[1]17'!G34</f>
        <v>1006.22089</v>
      </c>
      <c r="D18" s="151">
        <v>1067.4044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32248.78197</v>
      </c>
      <c r="D19" s="155">
        <f>SUM(D11:D18)</f>
        <v>45800.4044</v>
      </c>
      <c r="E19" s="237" t="s">
        <v>52</v>
      </c>
      <c r="F19" s="242" t="s">
        <v>53</v>
      </c>
      <c r="G19" s="152">
        <v>8739</v>
      </c>
      <c r="H19" s="152">
        <v>8739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163</v>
      </c>
      <c r="D20" s="151">
        <v>168</v>
      </c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39331</v>
      </c>
      <c r="H21" s="156">
        <f>SUM(H22:H24)</f>
        <v>39226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38090</v>
      </c>
      <c r="H22" s="152">
        <v>38090</v>
      </c>
    </row>
    <row r="23" spans="1:13" ht="15">
      <c r="A23" s="235" t="s">
        <v>65</v>
      </c>
      <c r="B23" s="241" t="s">
        <v>66</v>
      </c>
      <c r="C23" s="579">
        <f>'[1]18'!C30</f>
        <v>502</v>
      </c>
      <c r="D23" s="151">
        <v>592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579">
        <f>'[1]18'!D30</f>
        <v>34</v>
      </c>
      <c r="D24" s="151">
        <v>55</v>
      </c>
      <c r="E24" s="237" t="s">
        <v>71</v>
      </c>
      <c r="F24" s="242" t="s">
        <v>72</v>
      </c>
      <c r="G24" s="152">
        <v>1241</v>
      </c>
      <c r="H24" s="152">
        <v>1136</v>
      </c>
    </row>
    <row r="25" spans="1:18" ht="15">
      <c r="A25" s="235" t="s">
        <v>73</v>
      </c>
      <c r="B25" s="241" t="s">
        <v>74</v>
      </c>
      <c r="C25" s="579"/>
      <c r="D25" s="151"/>
      <c r="E25" s="253" t="s">
        <v>75</v>
      </c>
      <c r="F25" s="245" t="s">
        <v>76</v>
      </c>
      <c r="G25" s="154">
        <f>G19+G20+G21</f>
        <v>48070</v>
      </c>
      <c r="H25" s="154">
        <f>H19+H20+H21</f>
        <v>47965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579">
        <v>1674</v>
      </c>
      <c r="D26" s="151">
        <v>1639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2210</v>
      </c>
      <c r="D27" s="155">
        <f>SUM(D23:D26)</f>
        <v>2286</v>
      </c>
      <c r="E27" s="253" t="s">
        <v>82</v>
      </c>
      <c r="F27" s="242" t="s">
        <v>83</v>
      </c>
      <c r="G27" s="154">
        <f>SUM(G28:G30)</f>
        <v>-11348</v>
      </c>
      <c r="H27" s="154">
        <f>SUM(H28:H30)</f>
        <v>-5062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-11348</v>
      </c>
      <c r="H29" s="316">
        <v>-5062</v>
      </c>
      <c r="M29" s="157"/>
    </row>
    <row r="30" spans="1:8" ht="15">
      <c r="A30" s="235" t="s">
        <v>89</v>
      </c>
      <c r="B30" s="241" t="s">
        <v>90</v>
      </c>
      <c r="C30" s="151">
        <v>2113</v>
      </c>
      <c r="D30" s="151">
        <v>2113</v>
      </c>
      <c r="E30" s="237" t="s">
        <v>91</v>
      </c>
      <c r="F30" s="242" t="s">
        <v>92</v>
      </c>
      <c r="G30" s="158">
        <v>0</v>
      </c>
      <c r="H30" s="158">
        <v>0</v>
      </c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2113</v>
      </c>
      <c r="D32" s="155">
        <f>D30+D31</f>
        <v>2113</v>
      </c>
      <c r="E32" s="243" t="s">
        <v>99</v>
      </c>
      <c r="F32" s="242" t="s">
        <v>100</v>
      </c>
      <c r="G32" s="316">
        <v>-28474</v>
      </c>
      <c r="H32" s="316">
        <v>-5687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-39822</v>
      </c>
      <c r="H33" s="154">
        <f>H27+H31+H32</f>
        <v>-10749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4</v>
      </c>
      <c r="D34" s="155">
        <f>SUM(D35:D38)</f>
        <v>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21285</v>
      </c>
      <c r="H36" s="154">
        <f>H25+H17+H33</f>
        <v>50253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4</v>
      </c>
      <c r="D37" s="151">
        <v>4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1211</v>
      </c>
      <c r="D39" s="159">
        <f>D40+D41+D43</f>
        <v>1898</v>
      </c>
      <c r="E39" s="445" t="s">
        <v>117</v>
      </c>
      <c r="F39" s="261" t="s">
        <v>118</v>
      </c>
      <c r="G39" s="158">
        <v>2173</v>
      </c>
      <c r="H39" s="158">
        <v>2065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>
        <v>1211</v>
      </c>
      <c r="D43" s="151">
        <v>1898</v>
      </c>
      <c r="E43" s="243" t="s">
        <v>129</v>
      </c>
      <c r="F43" s="242" t="s">
        <v>130</v>
      </c>
      <c r="G43" s="579"/>
      <c r="H43" s="152"/>
      <c r="M43" s="157"/>
    </row>
    <row r="44" spans="1:8" ht="15">
      <c r="A44" s="235" t="s">
        <v>131</v>
      </c>
      <c r="B44" s="264" t="s">
        <v>132</v>
      </c>
      <c r="C44" s="151">
        <v>6606</v>
      </c>
      <c r="D44" s="151"/>
      <c r="E44" s="268" t="s">
        <v>133</v>
      </c>
      <c r="F44" s="242" t="s">
        <v>134</v>
      </c>
      <c r="G44" s="579">
        <f>'[1]SOFP'!X47</f>
        <v>6725</v>
      </c>
      <c r="H44" s="152">
        <v>6165</v>
      </c>
    </row>
    <row r="45" spans="1:15" ht="15">
      <c r="A45" s="235" t="s">
        <v>135</v>
      </c>
      <c r="B45" s="249" t="s">
        <v>136</v>
      </c>
      <c r="C45" s="155">
        <f>C34+C39+C44</f>
        <v>7821</v>
      </c>
      <c r="D45" s="155">
        <f>D34+D39+D44</f>
        <v>1902</v>
      </c>
      <c r="E45" s="251" t="s">
        <v>137</v>
      </c>
      <c r="F45" s="242" t="s">
        <v>138</v>
      </c>
      <c r="G45" s="579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579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579"/>
      <c r="H47" s="152"/>
      <c r="M47" s="157"/>
    </row>
    <row r="48" spans="1:8" ht="15">
      <c r="A48" s="235" t="s">
        <v>146</v>
      </c>
      <c r="B48" s="244" t="s">
        <v>147</v>
      </c>
      <c r="C48" s="151">
        <v>485</v>
      </c>
      <c r="D48" s="151">
        <v>489</v>
      </c>
      <c r="E48" s="237" t="s">
        <v>148</v>
      </c>
      <c r="F48" s="242" t="s">
        <v>149</v>
      </c>
      <c r="G48" s="579">
        <f>SUM('[1]SOFP'!X48:X50)</f>
        <v>2706</v>
      </c>
      <c r="H48" s="152">
        <f>275+3223</f>
        <v>3498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9431</v>
      </c>
      <c r="H49" s="154">
        <f>SUM(H43:H48)</f>
        <v>9663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21587</v>
      </c>
      <c r="D50" s="151">
        <v>29170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22072</v>
      </c>
      <c r="D51" s="155">
        <f>SUM(D47:D50)</f>
        <v>29659</v>
      </c>
      <c r="E51" s="251" t="s">
        <v>156</v>
      </c>
      <c r="F51" s="245" t="s">
        <v>157</v>
      </c>
      <c r="G51" s="152">
        <v>470</v>
      </c>
      <c r="H51" s="152">
        <v>81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>
        <v>519</v>
      </c>
      <c r="D54" s="151">
        <v>2531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67146.78197</v>
      </c>
      <c r="D55" s="155">
        <f>D19+D20+D21+D27+D32+D45+D51+D53+D54</f>
        <v>84459.4044</v>
      </c>
      <c r="E55" s="237" t="s">
        <v>171</v>
      </c>
      <c r="F55" s="261" t="s">
        <v>172</v>
      </c>
      <c r="G55" s="154">
        <f>G49+G51+G52+G53+G54</f>
        <v>9901</v>
      </c>
      <c r="H55" s="154">
        <f>H49+H51+H52+H53+H54</f>
        <v>9744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579">
        <f>'[1]12'!R3</f>
        <v>8561</v>
      </c>
      <c r="D58" s="151">
        <v>7120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579">
        <f>'[1]12'!R4</f>
        <v>1452</v>
      </c>
      <c r="D59" s="151"/>
      <c r="E59" s="251" t="s">
        <v>180</v>
      </c>
      <c r="F59" s="242" t="s">
        <v>181</v>
      </c>
      <c r="G59" s="152">
        <v>84497</v>
      </c>
      <c r="H59" s="152">
        <v>100329</v>
      </c>
      <c r="M59" s="157"/>
    </row>
    <row r="60" spans="1:8" ht="15">
      <c r="A60" s="235" t="s">
        <v>182</v>
      </c>
      <c r="B60" s="241" t="s">
        <v>183</v>
      </c>
      <c r="C60" s="579">
        <f>'[1]12'!R5</f>
        <v>11</v>
      </c>
      <c r="D60" s="151">
        <v>11</v>
      </c>
      <c r="E60" s="237" t="s">
        <v>184</v>
      </c>
      <c r="F60" s="242" t="s">
        <v>185</v>
      </c>
      <c r="G60" s="152">
        <v>125</v>
      </c>
      <c r="H60" s="152">
        <v>562</v>
      </c>
    </row>
    <row r="61" spans="1:18" ht="15">
      <c r="A61" s="235" t="s">
        <v>186</v>
      </c>
      <c r="B61" s="244" t="s">
        <v>187</v>
      </c>
      <c r="C61" s="579">
        <f>'[1]12'!R6</f>
        <v>156</v>
      </c>
      <c r="D61" s="151">
        <v>559</v>
      </c>
      <c r="E61" s="243" t="s">
        <v>188</v>
      </c>
      <c r="F61" s="272" t="s">
        <v>189</v>
      </c>
      <c r="G61" s="154">
        <f>SUM(G62:G68)</f>
        <v>42038</v>
      </c>
      <c r="H61" s="154">
        <f>SUM(H62:H68)</f>
        <v>25278.9384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579"/>
      <c r="D62" s="151">
        <v>0</v>
      </c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579"/>
      <c r="D63" s="151"/>
      <c r="E63" s="237" t="s">
        <v>196</v>
      </c>
      <c r="F63" s="242" t="s">
        <v>197</v>
      </c>
      <c r="G63" s="579">
        <f>'[1]19'!R6</f>
        <v>2146</v>
      </c>
      <c r="H63" s="152">
        <v>1725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10180</v>
      </c>
      <c r="D64" s="155">
        <f>SUM(D58:D63)</f>
        <v>7690</v>
      </c>
      <c r="E64" s="237" t="s">
        <v>199</v>
      </c>
      <c r="F64" s="242" t="s">
        <v>200</v>
      </c>
      <c r="G64" s="579">
        <f>'[1]21'!R4</f>
        <v>23369</v>
      </c>
      <c r="H64" s="152">
        <v>12110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579">
        <f>'[1]SOFP'!X57</f>
        <v>2494</v>
      </c>
      <c r="H65" s="152">
        <v>6782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579">
        <f>'[1]21'!R8</f>
        <v>2386</v>
      </c>
      <c r="H66" s="152">
        <v>1775</v>
      </c>
    </row>
    <row r="67" spans="1:8" ht="15">
      <c r="A67" s="235" t="s">
        <v>206</v>
      </c>
      <c r="B67" s="241" t="s">
        <v>207</v>
      </c>
      <c r="C67" s="579">
        <f>'[1]13'!R6</f>
        <v>1</v>
      </c>
      <c r="D67" s="151">
        <v>1</v>
      </c>
      <c r="E67" s="237" t="s">
        <v>208</v>
      </c>
      <c r="F67" s="242" t="s">
        <v>209</v>
      </c>
      <c r="G67" s="579">
        <f>'[1]21'!R9</f>
        <v>4803</v>
      </c>
      <c r="H67" s="152">
        <v>1311.9384</v>
      </c>
    </row>
    <row r="68" spans="1:8" ht="15">
      <c r="A68" s="235" t="s">
        <v>210</v>
      </c>
      <c r="B68" s="241" t="s">
        <v>211</v>
      </c>
      <c r="C68" s="579">
        <v>67021</v>
      </c>
      <c r="D68" s="151">
        <v>63763</v>
      </c>
      <c r="E68" s="237" t="s">
        <v>212</v>
      </c>
      <c r="F68" s="242" t="s">
        <v>213</v>
      </c>
      <c r="G68" s="579">
        <f>59+4479+2302</f>
        <v>6840</v>
      </c>
      <c r="H68" s="152">
        <f>7+416+1152</f>
        <v>1575</v>
      </c>
    </row>
    <row r="69" spans="1:8" ht="15">
      <c r="A69" s="235" t="s">
        <v>214</v>
      </c>
      <c r="B69" s="241" t="s">
        <v>215</v>
      </c>
      <c r="C69" s="579">
        <v>6116</v>
      </c>
      <c r="D69" s="151">
        <v>14241</v>
      </c>
      <c r="E69" s="251" t="s">
        <v>77</v>
      </c>
      <c r="F69" s="242" t="s">
        <v>216</v>
      </c>
      <c r="G69" s="579">
        <f>3387+2199</f>
        <v>5586</v>
      </c>
      <c r="H69" s="152">
        <f>1736+2067</f>
        <v>3803</v>
      </c>
    </row>
    <row r="70" spans="1:8" ht="15">
      <c r="A70" s="235" t="s">
        <v>217</v>
      </c>
      <c r="B70" s="241" t="s">
        <v>218</v>
      </c>
      <c r="C70" s="579">
        <f>'[1]15'!R7</f>
        <v>11304</v>
      </c>
      <c r="D70" s="151">
        <v>11397</v>
      </c>
      <c r="E70" s="237" t="s">
        <v>219</v>
      </c>
      <c r="F70" s="242" t="s">
        <v>220</v>
      </c>
      <c r="G70" s="579">
        <v>6313</v>
      </c>
      <c r="H70" s="152">
        <v>916</v>
      </c>
    </row>
    <row r="71" spans="1:18" ht="15">
      <c r="A71" s="235" t="s">
        <v>221</v>
      </c>
      <c r="B71" s="241" t="s">
        <v>222</v>
      </c>
      <c r="C71" s="579"/>
      <c r="D71" s="151"/>
      <c r="E71" s="253" t="s">
        <v>45</v>
      </c>
      <c r="F71" s="273" t="s">
        <v>223</v>
      </c>
      <c r="G71" s="161">
        <f>G59+G60+G61+G69+G70</f>
        <v>138559</v>
      </c>
      <c r="H71" s="161">
        <f>H59+H60+H61+H69+H70</f>
        <v>130888.9384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579">
        <f>'[1]SOFP'!X24</f>
        <v>559</v>
      </c>
      <c r="D72" s="151">
        <v>858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579">
        <v>328</v>
      </c>
      <c r="D73" s="151">
        <v>166</v>
      </c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579">
        <v>7823</v>
      </c>
      <c r="D74" s="151">
        <v>5423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93152</v>
      </c>
      <c r="D75" s="155">
        <f>SUM(D67:D74)</f>
        <v>95849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138559</v>
      </c>
      <c r="H79" s="162">
        <f>H71+H74+H75+H76</f>
        <v>130888.9384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579">
        <f>'[1]16'!R5</f>
        <v>452</v>
      </c>
      <c r="D87" s="151">
        <v>495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579">
        <f>'[1]16'!R4</f>
        <v>767</v>
      </c>
      <c r="D88" s="151">
        <v>4063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579">
        <f>'[1]16'!R6</f>
        <v>220</v>
      </c>
      <c r="D89" s="151">
        <v>395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579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1439</v>
      </c>
      <c r="D91" s="155">
        <f>SUM(D87:D90)</f>
        <v>4953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104771</v>
      </c>
      <c r="D93" s="155">
        <f>D64+D75+D84+D91+D92</f>
        <v>108492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171917.78197</v>
      </c>
      <c r="D94" s="164">
        <f>D93+D55</f>
        <v>192951.4044</v>
      </c>
      <c r="E94" s="449" t="s">
        <v>269</v>
      </c>
      <c r="F94" s="289" t="s">
        <v>270</v>
      </c>
      <c r="G94" s="165">
        <f>G36+G39+G55+G79</f>
        <v>171918</v>
      </c>
      <c r="H94" s="165">
        <f>H36+H39+H55+H79</f>
        <v>192950.93839999998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2:13" ht="15">
      <c r="B96" s="432"/>
      <c r="C96" s="150"/>
      <c r="D96" s="150"/>
      <c r="E96" s="433"/>
      <c r="F96" s="170"/>
      <c r="G96" s="576">
        <f>C94-G94</f>
        <v>-0.2180299999890849</v>
      </c>
      <c r="H96" s="576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866</v>
      </c>
      <c r="B98" s="432"/>
      <c r="C98" s="587" t="s">
        <v>272</v>
      </c>
      <c r="D98" s="587"/>
      <c r="E98" s="587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7" t="s">
        <v>851</v>
      </c>
      <c r="D100" s="588"/>
      <c r="E100" s="588"/>
    </row>
    <row r="102" ht="12.75">
      <c r="E102" s="176"/>
    </row>
    <row r="104" ht="12.75">
      <c r="M104" s="157"/>
    </row>
    <row r="105" ht="15">
      <c r="A105" s="431" t="s">
        <v>846</v>
      </c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8" bottom="0.38" header="0.17" footer="0.17"/>
  <pageSetup fitToHeight="1000" horizontalDpi="300" verticalDpi="300" orientation="landscape" paperSize="9" scale="65" r:id="rId1"/>
  <headerFooter alignWithMargins="0">
    <oddHeader>&amp;R&amp;"Times New Roman Cyr,Regular"&amp;9СПРАВКА ПО ОБРАЗЕЦ  № 1</oddHeader>
  </headerFooter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366"/>
  <sheetViews>
    <sheetView zoomScalePageLayoutView="0" workbookViewId="0" topLeftCell="A28">
      <selection activeCell="B49" sqref="B49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5" customWidth="1"/>
    <col min="4" max="4" width="12.75390625" style="545" customWidth="1"/>
    <col min="5" max="5" width="37.25390625" style="567" customWidth="1"/>
    <col min="6" max="6" width="9.00390625" style="567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2" t="str">
        <f>'справка №1-БАЛАНС'!E3</f>
        <v>ИКОНОМИЧЕСКА ГРУПА "ЕНЕМОНА"АД</v>
      </c>
      <c r="C2" s="592"/>
      <c r="D2" s="592"/>
      <c r="E2" s="592"/>
      <c r="F2" s="594" t="s">
        <v>2</v>
      </c>
      <c r="G2" s="594"/>
      <c r="H2" s="526">
        <f>'справка №1-БАЛАНС'!H3</f>
        <v>0</v>
      </c>
    </row>
    <row r="3" spans="1:8" ht="15">
      <c r="A3" s="467" t="s">
        <v>274</v>
      </c>
      <c r="B3" s="592" t="str">
        <f>'справка №1-БАЛАНС'!E4</f>
        <v> КОНСОЛИДИРАН</v>
      </c>
      <c r="C3" s="592"/>
      <c r="D3" s="592"/>
      <c r="E3" s="592"/>
      <c r="F3" s="546" t="s">
        <v>3</v>
      </c>
      <c r="G3" s="527"/>
      <c r="H3" s="527" t="str">
        <f>'справка №1-БАЛАНС'!H4</f>
        <v>1199-1</v>
      </c>
    </row>
    <row r="4" spans="1:8" ht="17.25" customHeight="1">
      <c r="A4" s="467" t="s">
        <v>4</v>
      </c>
      <c r="B4" s="593" t="str">
        <f>'справка №1-БАЛАНС'!E5</f>
        <v>01.01.2013-31.12.2013</v>
      </c>
      <c r="C4" s="593"/>
      <c r="D4" s="593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28749</v>
      </c>
      <c r="D9" s="46">
        <v>16595</v>
      </c>
      <c r="E9" s="298" t="s">
        <v>284</v>
      </c>
      <c r="F9" s="549" t="s">
        <v>285</v>
      </c>
      <c r="G9" s="550">
        <v>65793</v>
      </c>
      <c r="H9" s="550">
        <v>66907</v>
      </c>
    </row>
    <row r="10" spans="1:8" ht="12">
      <c r="A10" s="298" t="s">
        <v>286</v>
      </c>
      <c r="B10" s="299" t="s">
        <v>287</v>
      </c>
      <c r="C10" s="46">
        <f>23567</f>
        <v>23567</v>
      </c>
      <c r="D10" s="46">
        <v>19252</v>
      </c>
      <c r="E10" s="298" t="s">
        <v>288</v>
      </c>
      <c r="F10" s="549" t="s">
        <v>289</v>
      </c>
      <c r="G10" s="550">
        <f>52717+4949</f>
        <v>57666</v>
      </c>
      <c r="H10" s="550">
        <v>62753</v>
      </c>
    </row>
    <row r="11" spans="1:8" ht="12">
      <c r="A11" s="298" t="s">
        <v>290</v>
      </c>
      <c r="B11" s="299" t="s">
        <v>291</v>
      </c>
      <c r="C11" s="46">
        <v>2271</v>
      </c>
      <c r="D11" s="46">
        <v>2386</v>
      </c>
      <c r="E11" s="300" t="s">
        <v>292</v>
      </c>
      <c r="F11" s="549" t="s">
        <v>293</v>
      </c>
      <c r="G11" s="550">
        <v>326</v>
      </c>
      <c r="H11" s="550">
        <v>387</v>
      </c>
    </row>
    <row r="12" spans="1:8" ht="12">
      <c r="A12" s="298" t="s">
        <v>294</v>
      </c>
      <c r="B12" s="299" t="s">
        <v>295</v>
      </c>
      <c r="C12" s="46">
        <f>30262-C13</f>
        <v>26468</v>
      </c>
      <c r="D12" s="46">
        <v>26873</v>
      </c>
      <c r="E12" s="300" t="s">
        <v>77</v>
      </c>
      <c r="F12" s="549" t="s">
        <v>296</v>
      </c>
      <c r="G12" s="550"/>
      <c r="H12" s="550">
        <f>7+281</f>
        <v>288</v>
      </c>
    </row>
    <row r="13" spans="1:18" ht="12">
      <c r="A13" s="298" t="s">
        <v>297</v>
      </c>
      <c r="B13" s="299" t="s">
        <v>298</v>
      </c>
      <c r="C13" s="46">
        <v>3794</v>
      </c>
      <c r="D13" s="46">
        <v>3357</v>
      </c>
      <c r="E13" s="301" t="s">
        <v>50</v>
      </c>
      <c r="F13" s="551" t="s">
        <v>299</v>
      </c>
      <c r="G13" s="548">
        <f>SUM(G9:G12)</f>
        <v>123785</v>
      </c>
      <c r="H13" s="548">
        <f>SUM(H9:H12)</f>
        <v>130335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f>54422+5244</f>
        <v>59666</v>
      </c>
      <c r="D14" s="46">
        <f>60043+802</f>
        <v>60845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-1048</v>
      </c>
      <c r="D15" s="47">
        <v>-166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f>8844-5244</f>
        <v>3600</v>
      </c>
      <c r="D16" s="47">
        <f>4326-802</f>
        <v>3524</v>
      </c>
      <c r="E16" s="298" t="s">
        <v>308</v>
      </c>
      <c r="F16" s="552" t="s">
        <v>309</v>
      </c>
      <c r="G16" s="550"/>
      <c r="H16" s="550"/>
    </row>
    <row r="17" spans="1:8" ht="12">
      <c r="A17" s="302" t="s">
        <v>310</v>
      </c>
      <c r="B17" s="299" t="s">
        <v>311</v>
      </c>
      <c r="C17" s="48">
        <v>1089</v>
      </c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>
        <v>3035</v>
      </c>
      <c r="D18" s="48">
        <v>294</v>
      </c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147067</v>
      </c>
      <c r="D19" s="49">
        <f>SUM(D9:D15)+D16</f>
        <v>132666</v>
      </c>
      <c r="E19" s="304" t="s">
        <v>316</v>
      </c>
      <c r="F19" s="552" t="s">
        <v>317</v>
      </c>
      <c r="G19" s="550">
        <v>6302</v>
      </c>
      <c r="H19" s="550">
        <v>5708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>
        <v>104</v>
      </c>
      <c r="H20" s="550">
        <v>71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578">
        <v>5014</v>
      </c>
      <c r="D22" s="578">
        <v>4640</v>
      </c>
      <c r="E22" s="304" t="s">
        <v>325</v>
      </c>
      <c r="F22" s="552" t="s">
        <v>326</v>
      </c>
      <c r="G22" s="550">
        <v>9</v>
      </c>
      <c r="H22" s="550">
        <v>17</v>
      </c>
    </row>
    <row r="23" spans="1:8" ht="24">
      <c r="A23" s="298" t="s">
        <v>327</v>
      </c>
      <c r="B23" s="305" t="s">
        <v>328</v>
      </c>
      <c r="C23" s="578"/>
      <c r="D23" s="578"/>
      <c r="E23" s="298" t="s">
        <v>329</v>
      </c>
      <c r="F23" s="552" t="s">
        <v>330</v>
      </c>
      <c r="G23" s="550"/>
      <c r="H23" s="550"/>
    </row>
    <row r="24" spans="1:18" ht="15">
      <c r="A24" s="298" t="s">
        <v>331</v>
      </c>
      <c r="B24" s="305" t="s">
        <v>332</v>
      </c>
      <c r="C24" s="578">
        <v>92</v>
      </c>
      <c r="D24" s="578">
        <v>60</v>
      </c>
      <c r="E24" s="301" t="s">
        <v>102</v>
      </c>
      <c r="F24" s="554" t="s">
        <v>333</v>
      </c>
      <c r="G24" s="548">
        <f>SUM(G19:G23)</f>
        <v>6415</v>
      </c>
      <c r="H24" s="548">
        <f>SUM(H19:H23)</f>
        <v>5796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5">
      <c r="A25" s="298" t="s">
        <v>77</v>
      </c>
      <c r="B25" s="305" t="s">
        <v>334</v>
      </c>
      <c r="C25" s="578">
        <v>4651</v>
      </c>
      <c r="D25" s="578">
        <v>4386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9757</v>
      </c>
      <c r="D26" s="49">
        <f>SUM(D22:D25)</f>
        <v>9086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156824</v>
      </c>
      <c r="D28" s="50">
        <f>D26+D19</f>
        <v>141752</v>
      </c>
      <c r="E28" s="127" t="s">
        <v>338</v>
      </c>
      <c r="F28" s="554" t="s">
        <v>339</v>
      </c>
      <c r="G28" s="548">
        <f>G13+G15+G24</f>
        <v>130200</v>
      </c>
      <c r="H28" s="548">
        <f>H13+H15+H24</f>
        <v>136131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26624</v>
      </c>
      <c r="H30" s="53">
        <f>IF((D28-H28)&gt;0,D28-H28,0)</f>
        <v>5621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5" t="s">
        <v>847</v>
      </c>
      <c r="B31" s="306" t="s">
        <v>344</v>
      </c>
      <c r="C31" s="46"/>
      <c r="D31" s="46"/>
      <c r="E31" s="296" t="s">
        <v>850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156824</v>
      </c>
      <c r="D33" s="49">
        <f>D28+D31+D32</f>
        <v>141752</v>
      </c>
      <c r="E33" s="127" t="s">
        <v>352</v>
      </c>
      <c r="F33" s="554" t="s">
        <v>353</v>
      </c>
      <c r="G33" s="53">
        <f>G32+G31+G28</f>
        <v>130200</v>
      </c>
      <c r="H33" s="53">
        <f>H32+H31+H28</f>
        <v>136131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26624</v>
      </c>
      <c r="H34" s="548">
        <f>IF((D33-H33)&gt;0,D33-H33,0)</f>
        <v>5621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2051</v>
      </c>
      <c r="D35" s="49">
        <f>D36+D37+D38</f>
        <v>130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2051</v>
      </c>
      <c r="D36" s="46">
        <v>130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6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6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7" t="s">
        <v>369</v>
      </c>
      <c r="G39" s="558">
        <f>IF(G34&gt;0,IF(C35+G34&lt;0,0,C35+G34),IF(C34-C35&lt;0,C35-C34,0))</f>
        <v>28675</v>
      </c>
      <c r="H39" s="558">
        <f>IF(H34&gt;0,IF(D35+H34&lt;0,0,D35+H34),IF(D34-D35&lt;0,D35-D34,0))</f>
        <v>5751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7" t="s">
        <v>372</v>
      </c>
      <c r="G40" s="550">
        <v>201</v>
      </c>
      <c r="H40" s="550">
        <v>64</v>
      </c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0" t="s">
        <v>376</v>
      </c>
      <c r="G41" s="52">
        <f>IF(C39=0,IF(G39-G40&gt;0,G39-G40+C40,0),IF(C39-C40&lt;0,C40-C39+G40,0))</f>
        <v>28474</v>
      </c>
      <c r="H41" s="52">
        <f>IF(D39=0,IF(H39-H40&gt;0,H39-H40+D40,0),IF(D39-D40&lt;0,D40-D39+H40,0))</f>
        <v>5687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158875</v>
      </c>
      <c r="D42" s="53">
        <f>D33+D35+D39</f>
        <v>141882</v>
      </c>
      <c r="E42" s="128" t="s">
        <v>379</v>
      </c>
      <c r="F42" s="129" t="s">
        <v>380</v>
      </c>
      <c r="G42" s="53">
        <f>G39+G33</f>
        <v>158875</v>
      </c>
      <c r="H42" s="53">
        <f>H39+H33</f>
        <v>141882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95" t="s">
        <v>857</v>
      </c>
      <c r="B45" s="595"/>
      <c r="C45" s="595"/>
      <c r="D45" s="595"/>
      <c r="E45" s="595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271</v>
      </c>
      <c r="B48" s="574" t="s">
        <v>867</v>
      </c>
      <c r="C48" s="427" t="s">
        <v>381</v>
      </c>
      <c r="D48" s="590"/>
      <c r="E48" s="590"/>
      <c r="F48" s="590"/>
      <c r="G48" s="590"/>
      <c r="H48" s="590"/>
      <c r="I48" s="544"/>
      <c r="J48" s="544"/>
      <c r="K48" s="544"/>
      <c r="L48" s="544"/>
      <c r="M48" s="544"/>
      <c r="N48" s="544"/>
      <c r="O48" s="544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781</v>
      </c>
      <c r="D50" s="591"/>
      <c r="E50" s="591"/>
      <c r="F50" s="591"/>
      <c r="G50" s="591"/>
      <c r="H50" s="591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81" bottom="0.22" header="0.5118110236220472" footer="0.15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02"/>
  <sheetViews>
    <sheetView zoomScalePageLayoutView="0" workbookViewId="0" topLeftCell="A29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ИКОНОМИЧЕСКА ГРУПА "ЕНЕМОНА"АД</v>
      </c>
      <c r="C4" s="541" t="s">
        <v>2</v>
      </c>
      <c r="D4" s="541">
        <f>'справка №1-БАЛАНС'!H3</f>
        <v>0</v>
      </c>
      <c r="E4" s="323"/>
      <c r="F4" s="323"/>
    </row>
    <row r="5" spans="1:4" ht="15">
      <c r="A5" s="470" t="s">
        <v>274</v>
      </c>
      <c r="B5" s="470" t="str">
        <f>'справка №1-БАЛАНС'!E4</f>
        <v> КОНСОЛИДИРАН</v>
      </c>
      <c r="C5" s="542" t="s">
        <v>3</v>
      </c>
      <c r="D5" s="541" t="str">
        <f>'справка №1-БАЛАНС'!H4</f>
        <v>1199-1</v>
      </c>
    </row>
    <row r="6" spans="1:6" ht="12" customHeight="1">
      <c r="A6" s="471" t="s">
        <v>4</v>
      </c>
      <c r="B6" s="506" t="str">
        <f>'справка №1-БАЛАНС'!E5</f>
        <v>01.01.2013-31.12.2013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154654</v>
      </c>
      <c r="D10" s="54">
        <v>151970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-123656</v>
      </c>
      <c r="D11" s="54">
        <v>-153942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-22426</v>
      </c>
      <c r="D13" s="54">
        <v>-32092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70</v>
      </c>
      <c r="D14" s="54">
        <v>-1891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-67</v>
      </c>
      <c r="D15" s="54">
        <v>-267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-867</v>
      </c>
      <c r="D19" s="54">
        <v>-2058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7708</v>
      </c>
      <c r="D20" s="55">
        <f>SUM(D10:D19)</f>
        <v>-38280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-1404</v>
      </c>
      <c r="D22" s="54">
        <v>-388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4974</v>
      </c>
      <c r="D23" s="54">
        <v>386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-2997</v>
      </c>
      <c r="D24" s="54">
        <v>-7423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2916</v>
      </c>
      <c r="D25" s="54">
        <v>10869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>
        <v>-26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>
        <v>113</v>
      </c>
      <c r="D29" s="54">
        <v>72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f>9160-2980-282</f>
        <v>5898</v>
      </c>
      <c r="D31" s="54">
        <v>7744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9500</v>
      </c>
      <c r="D32" s="55">
        <f>SUM(D22:D31)</f>
        <v>11234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31476</v>
      </c>
      <c r="D36" s="54">
        <v>117095</v>
      </c>
      <c r="E36" s="130"/>
      <c r="F36" s="130"/>
    </row>
    <row r="37" spans="1:6" ht="12">
      <c r="A37" s="332" t="s">
        <v>437</v>
      </c>
      <c r="B37" s="333" t="s">
        <v>438</v>
      </c>
      <c r="C37" s="54">
        <v>-42578</v>
      </c>
      <c r="D37" s="54">
        <v>-89152</v>
      </c>
      <c r="E37" s="130"/>
      <c r="F37" s="130"/>
    </row>
    <row r="38" spans="1:6" ht="12">
      <c r="A38" s="332" t="s">
        <v>439</v>
      </c>
      <c r="B38" s="333" t="s">
        <v>440</v>
      </c>
      <c r="C38" s="54">
        <v>-343</v>
      </c>
      <c r="D38" s="54">
        <v>-967</v>
      </c>
      <c r="E38" s="130"/>
      <c r="F38" s="130"/>
    </row>
    <row r="39" spans="1:6" ht="12">
      <c r="A39" s="332" t="s">
        <v>441</v>
      </c>
      <c r="B39" s="333" t="s">
        <v>442</v>
      </c>
      <c r="C39" s="54">
        <f>-6078-2196</f>
        <v>-8274</v>
      </c>
      <c r="D39" s="54">
        <f>-5258-1857</f>
        <v>-7115</v>
      </c>
      <c r="E39" s="130"/>
      <c r="F39" s="130"/>
    </row>
    <row r="40" spans="1:6" ht="12">
      <c r="A40" s="332" t="s">
        <v>443</v>
      </c>
      <c r="B40" s="333" t="s">
        <v>444</v>
      </c>
      <c r="C40" s="54">
        <f>-102-1060</f>
        <v>-1162</v>
      </c>
      <c r="D40" s="54">
        <v>-45</v>
      </c>
      <c r="E40" s="130"/>
      <c r="F40" s="130"/>
    </row>
    <row r="41" spans="1:8" ht="12">
      <c r="A41" s="332" t="s">
        <v>445</v>
      </c>
      <c r="B41" s="333" t="s">
        <v>446</v>
      </c>
      <c r="C41" s="54">
        <f>159</f>
        <v>159</v>
      </c>
      <c r="D41" s="54">
        <f>50+395</f>
        <v>445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-20722</v>
      </c>
      <c r="D42" s="55">
        <f>SUM(D34:D41)</f>
        <v>20261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-3514</v>
      </c>
      <c r="D43" s="55">
        <f>D42+D32+D20</f>
        <v>-6785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4953</v>
      </c>
      <c r="D44" s="132">
        <v>11738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1439</v>
      </c>
      <c r="D45" s="55">
        <f>D44+D43</f>
        <v>4953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1219</v>
      </c>
      <c r="D46" s="56">
        <v>4558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220</v>
      </c>
      <c r="D47" s="56">
        <v>395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6"/>
      <c r="D50" s="59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96"/>
      <c r="D52" s="59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" bottom="0.43" header="0.5118110236220472" footer="0.23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W537"/>
  <sheetViews>
    <sheetView tabSelected="1" zoomScalePageLayoutView="0" workbookViewId="0" topLeftCell="A22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7" t="s">
        <v>459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9" t="str">
        <f>'справка №1-БАЛАНС'!E3</f>
        <v>ИКОНОМИЧЕСКА ГРУПА "ЕНЕМОНА"АД</v>
      </c>
      <c r="C3" s="599"/>
      <c r="D3" s="599"/>
      <c r="E3" s="599"/>
      <c r="F3" s="599"/>
      <c r="G3" s="599"/>
      <c r="H3" s="599"/>
      <c r="I3" s="599"/>
      <c r="J3" s="476"/>
      <c r="K3" s="601" t="s">
        <v>2</v>
      </c>
      <c r="L3" s="601"/>
      <c r="M3" s="478">
        <f>'справка №1-БАЛАНС'!H3</f>
        <v>0</v>
      </c>
      <c r="N3" s="2"/>
    </row>
    <row r="4" spans="1:15" s="532" customFormat="1" ht="13.5" customHeight="1">
      <c r="A4" s="467" t="s">
        <v>460</v>
      </c>
      <c r="B4" s="599" t="str">
        <f>'справка №1-БАЛАНС'!E4</f>
        <v> КОНСОЛИДИРАН</v>
      </c>
      <c r="C4" s="599"/>
      <c r="D4" s="599"/>
      <c r="E4" s="599"/>
      <c r="F4" s="599"/>
      <c r="G4" s="599"/>
      <c r="H4" s="599"/>
      <c r="I4" s="599"/>
      <c r="J4" s="136"/>
      <c r="K4" s="602" t="s">
        <v>3</v>
      </c>
      <c r="L4" s="602"/>
      <c r="M4" s="478" t="str">
        <f>'справка №1-БАЛАНС'!H4</f>
        <v>1199-1</v>
      </c>
      <c r="N4" s="3"/>
      <c r="O4" s="3"/>
    </row>
    <row r="5" spans="1:14" s="532" customFormat="1" ht="12.75" customHeight="1">
      <c r="A5" s="467" t="s">
        <v>4</v>
      </c>
      <c r="B5" s="603" t="str">
        <f>'справка №1-БАЛАНС'!E5</f>
        <v>01.01.2013-31.12.2013</v>
      </c>
      <c r="C5" s="603"/>
      <c r="D5" s="603"/>
      <c r="E5" s="603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13037</v>
      </c>
      <c r="D11" s="58">
        <f>'справка №1-БАЛАНС'!H19</f>
        <v>8739</v>
      </c>
      <c r="E11" s="58">
        <f>'справка №1-БАЛАНС'!H20</f>
        <v>0</v>
      </c>
      <c r="F11" s="58">
        <f>'справка №1-БАЛАНС'!H22</f>
        <v>38090</v>
      </c>
      <c r="G11" s="58">
        <f>'справка №1-БАЛАНС'!H23</f>
        <v>0</v>
      </c>
      <c r="H11" s="575">
        <f>'справка №1-БАЛАНС'!H24</f>
        <v>1136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-10749</v>
      </c>
      <c r="K11" s="60"/>
      <c r="L11" s="344">
        <f>SUM(C11:K11)</f>
        <v>50253</v>
      </c>
      <c r="M11" s="58">
        <f>'справка №1-БАЛАНС'!H39</f>
        <v>2065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13037</v>
      </c>
      <c r="D15" s="61">
        <f aca="true" t="shared" si="2" ref="D15:M15">D11+D12</f>
        <v>8739</v>
      </c>
      <c r="E15" s="61">
        <f t="shared" si="2"/>
        <v>0</v>
      </c>
      <c r="F15" s="61">
        <f t="shared" si="2"/>
        <v>38090</v>
      </c>
      <c r="G15" s="61">
        <f t="shared" si="2"/>
        <v>0</v>
      </c>
      <c r="H15" s="61">
        <f t="shared" si="2"/>
        <v>1136</v>
      </c>
      <c r="I15" s="61">
        <f t="shared" si="2"/>
        <v>0</v>
      </c>
      <c r="J15" s="61">
        <f t="shared" si="2"/>
        <v>-10749</v>
      </c>
      <c r="K15" s="61">
        <f t="shared" si="2"/>
        <v>0</v>
      </c>
      <c r="L15" s="344">
        <f t="shared" si="1"/>
        <v>50253</v>
      </c>
      <c r="M15" s="61">
        <f t="shared" si="2"/>
        <v>2065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-28474</v>
      </c>
      <c r="K16" s="60"/>
      <c r="L16" s="344">
        <f t="shared" si="1"/>
        <v>-28474</v>
      </c>
      <c r="M16" s="60">
        <v>-201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105</v>
      </c>
      <c r="I17" s="62">
        <f t="shared" si="3"/>
        <v>0</v>
      </c>
      <c r="J17" s="62">
        <f>J18+J19</f>
        <v>-206</v>
      </c>
      <c r="K17" s="62">
        <f t="shared" si="3"/>
        <v>0</v>
      </c>
      <c r="L17" s="344">
        <f t="shared" si="1"/>
        <v>-101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>
        <v>-101</v>
      </c>
      <c r="K18" s="60"/>
      <c r="L18" s="344">
        <f t="shared" si="1"/>
        <v>-101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>
        <v>105</v>
      </c>
      <c r="I19" s="60"/>
      <c r="J19" s="60">
        <v>-105</v>
      </c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>
        <v>-393</v>
      </c>
      <c r="K28" s="60"/>
      <c r="L28" s="344">
        <f t="shared" si="1"/>
        <v>-393</v>
      </c>
      <c r="M28" s="60">
        <v>309</v>
      </c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13037</v>
      </c>
      <c r="D29" s="59">
        <f aca="true" t="shared" si="6" ref="D29:M29">D17+D20+D21+D24+D28+D27+D15+D16</f>
        <v>8739</v>
      </c>
      <c r="E29" s="59">
        <f t="shared" si="6"/>
        <v>0</v>
      </c>
      <c r="F29" s="59">
        <f t="shared" si="6"/>
        <v>38090</v>
      </c>
      <c r="G29" s="59">
        <f t="shared" si="6"/>
        <v>0</v>
      </c>
      <c r="H29" s="59">
        <f t="shared" si="6"/>
        <v>1241</v>
      </c>
      <c r="I29" s="59">
        <f t="shared" si="6"/>
        <v>0</v>
      </c>
      <c r="J29" s="59">
        <f t="shared" si="6"/>
        <v>-39822</v>
      </c>
      <c r="K29" s="59">
        <f t="shared" si="6"/>
        <v>0</v>
      </c>
      <c r="L29" s="344">
        <f t="shared" si="1"/>
        <v>21285</v>
      </c>
      <c r="M29" s="59">
        <f t="shared" si="6"/>
        <v>2173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13037</v>
      </c>
      <c r="D32" s="59">
        <f t="shared" si="7"/>
        <v>8739</v>
      </c>
      <c r="E32" s="59">
        <f t="shared" si="7"/>
        <v>0</v>
      </c>
      <c r="F32" s="59">
        <f t="shared" si="7"/>
        <v>38090</v>
      </c>
      <c r="G32" s="59">
        <f t="shared" si="7"/>
        <v>0</v>
      </c>
      <c r="H32" s="59">
        <f t="shared" si="7"/>
        <v>1241</v>
      </c>
      <c r="I32" s="59">
        <f t="shared" si="7"/>
        <v>0</v>
      </c>
      <c r="J32" s="59">
        <f t="shared" si="7"/>
        <v>-39822</v>
      </c>
      <c r="K32" s="59">
        <f t="shared" si="7"/>
        <v>0</v>
      </c>
      <c r="L32" s="344">
        <f t="shared" si="1"/>
        <v>21285</v>
      </c>
      <c r="M32" s="59">
        <f>M29+M30+M31</f>
        <v>2173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0"/>
      <c r="B35" s="600"/>
      <c r="C35" s="600"/>
      <c r="D35" s="600"/>
      <c r="E35" s="600"/>
      <c r="F35" s="600"/>
      <c r="G35" s="600"/>
      <c r="H35" s="600"/>
      <c r="I35" s="600"/>
      <c r="J35" s="60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865</v>
      </c>
      <c r="B38" s="19"/>
      <c r="C38" s="15"/>
      <c r="D38" s="598" t="s">
        <v>521</v>
      </c>
      <c r="E38" s="598"/>
      <c r="F38" s="598"/>
      <c r="G38" s="598"/>
      <c r="H38" s="598"/>
      <c r="I38" s="598"/>
      <c r="J38" s="15" t="s">
        <v>853</v>
      </c>
      <c r="K38" s="15"/>
      <c r="L38" s="598"/>
      <c r="M38" s="598"/>
      <c r="N38" s="11"/>
    </row>
    <row r="39" spans="1:13" ht="12">
      <c r="A39" s="536" t="s">
        <v>540</v>
      </c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75" zoomScaleNormal="75" zoomScalePageLayoutView="0" workbookViewId="0" topLeftCell="A1">
      <selection activeCell="B46" sqref="B46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5" t="s">
        <v>383</v>
      </c>
      <c r="B2" s="616"/>
      <c r="C2" s="617" t="str">
        <f>'справка №1-БАЛАНС'!E3</f>
        <v>ИКОНОМИЧЕСКА ГРУПА "ЕНЕМОНА"АД</v>
      </c>
      <c r="D2" s="617"/>
      <c r="E2" s="617"/>
      <c r="F2" s="617"/>
      <c r="G2" s="617"/>
      <c r="H2" s="617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0</v>
      </c>
      <c r="P2" s="483"/>
      <c r="Q2" s="483"/>
      <c r="R2" s="526"/>
    </row>
    <row r="3" spans="1:18" ht="15">
      <c r="A3" s="615" t="s">
        <v>4</v>
      </c>
      <c r="B3" s="616"/>
      <c r="C3" s="618" t="str">
        <f>'справка №1-БАЛАНС'!E5</f>
        <v>01.01.2013-31.12.2013</v>
      </c>
      <c r="D3" s="618"/>
      <c r="E3" s="618"/>
      <c r="F3" s="485"/>
      <c r="G3" s="485"/>
      <c r="H3" s="485"/>
      <c r="I3" s="485"/>
      <c r="J3" s="485"/>
      <c r="K3" s="485"/>
      <c r="L3" s="485"/>
      <c r="M3" s="619" t="s">
        <v>3</v>
      </c>
      <c r="N3" s="619"/>
      <c r="O3" s="482" t="str">
        <f>'справка №1-БАЛАНС'!H4</f>
        <v>1199-1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4" t="s">
        <v>463</v>
      </c>
      <c r="B5" s="605"/>
      <c r="C5" s="608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13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3" t="s">
        <v>529</v>
      </c>
      <c r="R5" s="613" t="s">
        <v>530</v>
      </c>
    </row>
    <row r="6" spans="1:18" s="100" customFormat="1" ht="48">
      <c r="A6" s="606"/>
      <c r="B6" s="607"/>
      <c r="C6" s="609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4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4"/>
      <c r="R6" s="614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854</v>
      </c>
      <c r="B15" s="374" t="s">
        <v>855</v>
      </c>
      <c r="C15" s="456" t="s">
        <v>856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833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848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849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602</v>
      </c>
      <c r="B39" s="370" t="s">
        <v>603</v>
      </c>
      <c r="C39" s="369" t="s">
        <v>604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860</v>
      </c>
      <c r="C44" s="577"/>
      <c r="D44" s="355"/>
      <c r="E44" s="355"/>
      <c r="F44" s="355"/>
      <c r="G44" s="351"/>
      <c r="H44" s="356" t="s">
        <v>608</v>
      </c>
      <c r="I44" s="356"/>
      <c r="J44" s="356"/>
      <c r="K44" s="610"/>
      <c r="L44" s="610"/>
      <c r="M44" s="610"/>
      <c r="N44" s="610"/>
      <c r="O44" s="611" t="s">
        <v>781</v>
      </c>
      <c r="P44" s="612"/>
      <c r="Q44" s="612"/>
      <c r="R44" s="612"/>
    </row>
    <row r="45" spans="1:18" ht="12">
      <c r="A45" s="349"/>
      <c r="B45" s="580">
        <v>42073</v>
      </c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1">
      <selection activeCell="A111" sqref="A11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3" t="s">
        <v>609</v>
      </c>
      <c r="B1" s="623"/>
      <c r="C1" s="623"/>
      <c r="D1" s="623"/>
      <c r="E1" s="623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6" t="str">
        <f>'справка №1-БАЛАНС'!E3</f>
        <v>ИКОНОМИЧЕСКА ГРУПА "ЕНЕМОНА"АД</v>
      </c>
      <c r="C3" s="627"/>
      <c r="D3" s="526" t="s">
        <v>2</v>
      </c>
      <c r="E3" s="107">
        <f>'справка №1-БАЛАНС'!H3</f>
        <v>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24" t="str">
        <f>'справка №1-БАЛАНС'!E5</f>
        <v>01.01.2013-31.12.2013</v>
      </c>
      <c r="C4" s="625"/>
      <c r="D4" s="527" t="s">
        <v>3</v>
      </c>
      <c r="E4" s="107" t="str">
        <f>'справка №1-БАЛАНС'!H4</f>
        <v>1199-1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2" t="s">
        <v>780</v>
      </c>
      <c r="B107" s="622"/>
      <c r="C107" s="622"/>
      <c r="D107" s="622"/>
      <c r="E107" s="622"/>
      <c r="F107" s="62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1" t="s">
        <v>861</v>
      </c>
      <c r="B109" s="621"/>
      <c r="C109" s="621" t="s">
        <v>381</v>
      </c>
      <c r="D109" s="621"/>
      <c r="E109" s="621"/>
      <c r="F109" s="621"/>
    </row>
    <row r="110" spans="1:6" ht="12">
      <c r="A110" s="581">
        <v>42073</v>
      </c>
      <c r="B110" s="386"/>
      <c r="C110" s="385"/>
      <c r="D110" s="385"/>
      <c r="E110" s="385"/>
      <c r="F110" s="387"/>
    </row>
    <row r="111" spans="1:6" ht="12">
      <c r="A111" s="385"/>
      <c r="B111" s="386"/>
      <c r="C111" s="620" t="s">
        <v>781</v>
      </c>
      <c r="D111" s="620"/>
      <c r="E111" s="620"/>
      <c r="F111" s="62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4" bottom="0.7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44" sqref="C44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8" t="str">
        <f>'справка №1-БАЛАНС'!E3</f>
        <v>ИКОНОМИЧЕСКА ГРУПА "ЕНЕМОНА"АД</v>
      </c>
      <c r="C4" s="628"/>
      <c r="D4" s="628"/>
      <c r="E4" s="628"/>
      <c r="F4" s="628"/>
      <c r="G4" s="634" t="s">
        <v>2</v>
      </c>
      <c r="H4" s="634"/>
      <c r="I4" s="500">
        <f>'справка №1-БАЛАНС'!H3</f>
        <v>0</v>
      </c>
    </row>
    <row r="5" spans="1:9" ht="15">
      <c r="A5" s="501" t="s">
        <v>4</v>
      </c>
      <c r="B5" s="629" t="str">
        <f>'справка №1-БАЛАНС'!E5</f>
        <v>01.01.2013-31.12.2013</v>
      </c>
      <c r="C5" s="629"/>
      <c r="D5" s="629"/>
      <c r="E5" s="629"/>
      <c r="F5" s="629"/>
      <c r="G5" s="632" t="s">
        <v>3</v>
      </c>
      <c r="H5" s="633"/>
      <c r="I5" s="500" t="str">
        <f>'справка №1-БАЛАНС'!H4</f>
        <v>1199-1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861</v>
      </c>
      <c r="B30" s="631"/>
      <c r="C30" s="631"/>
      <c r="D30" s="459" t="s">
        <v>819</v>
      </c>
      <c r="E30" s="630"/>
      <c r="F30" s="630"/>
      <c r="G30" s="630"/>
      <c r="H30" s="420" t="s">
        <v>781</v>
      </c>
      <c r="I30" s="630"/>
      <c r="J30" s="630"/>
    </row>
    <row r="31" spans="1:9" s="521" customFormat="1" ht="12">
      <c r="A31" s="580">
        <v>42073</v>
      </c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5">
      <selection activeCell="A153" sqref="A153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5" t="str">
        <f>'справка №1-БАЛАНС'!E3</f>
        <v>ИКОНОМИЧЕСКА ГРУПА "ЕНЕМОНА"АД</v>
      </c>
      <c r="C5" s="635"/>
      <c r="D5" s="635"/>
      <c r="E5" s="569" t="s">
        <v>2</v>
      </c>
      <c r="F5" s="451">
        <f>'справка №1-БАЛАНС'!H3</f>
        <v>0</v>
      </c>
    </row>
    <row r="6" spans="1:13" ht="15" customHeight="1">
      <c r="A6" s="27" t="s">
        <v>822</v>
      </c>
      <c r="B6" s="636" t="str">
        <f>'справка №1-БАЛАНС'!E5</f>
        <v>01.01.2013-31.12.2013</v>
      </c>
      <c r="C6" s="636"/>
      <c r="D6" s="510"/>
      <c r="E6" s="568" t="s">
        <v>3</v>
      </c>
      <c r="F6" s="511" t="str">
        <f>'справка №1-БАЛАНС'!H4</f>
        <v>1199-1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12.75">
      <c r="A8" s="31"/>
      <c r="B8" s="32"/>
      <c r="C8" s="33"/>
      <c r="D8" s="33"/>
      <c r="E8" s="33"/>
      <c r="F8" s="33"/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9"/>
      <c r="D10" s="429"/>
      <c r="E10" s="429"/>
      <c r="F10" s="429"/>
    </row>
    <row r="11" spans="1:6" ht="18" customHeight="1">
      <c r="A11" s="36" t="s">
        <v>824</v>
      </c>
      <c r="B11" s="37"/>
      <c r="C11" s="429"/>
      <c r="D11" s="429"/>
      <c r="E11" s="429"/>
      <c r="F11" s="429"/>
    </row>
    <row r="12" spans="1:6" ht="14.25" customHeight="1">
      <c r="A12" s="36"/>
      <c r="B12" s="40"/>
      <c r="C12" s="441"/>
      <c r="D12" s="441"/>
      <c r="E12" s="441"/>
      <c r="F12" s="443">
        <f>C12-E12</f>
        <v>0</v>
      </c>
    </row>
    <row r="13" spans="1:6" ht="12.75">
      <c r="A13" s="36"/>
      <c r="B13" s="40"/>
      <c r="C13" s="441"/>
      <c r="D13" s="441"/>
      <c r="E13" s="441"/>
      <c r="F13" s="443">
        <f aca="true" t="shared" si="0" ref="F13:F19">C13-E13</f>
        <v>0</v>
      </c>
    </row>
    <row r="14" spans="1:6" ht="12.75">
      <c r="A14" s="36"/>
      <c r="B14" s="40"/>
      <c r="C14" s="441"/>
      <c r="D14" s="441"/>
      <c r="E14" s="441"/>
      <c r="F14" s="443">
        <f t="shared" si="0"/>
        <v>0</v>
      </c>
    </row>
    <row r="15" spans="1:6" ht="12.75">
      <c r="A15" s="36"/>
      <c r="B15" s="40"/>
      <c r="C15" s="441"/>
      <c r="D15" s="441"/>
      <c r="E15" s="441"/>
      <c r="F15" s="443">
        <f t="shared" si="0"/>
        <v>0</v>
      </c>
    </row>
    <row r="16" spans="1:6" ht="12.75">
      <c r="A16" s="36"/>
      <c r="B16" s="37"/>
      <c r="C16" s="441"/>
      <c r="D16" s="441"/>
      <c r="E16" s="441"/>
      <c r="F16" s="443">
        <f t="shared" si="0"/>
        <v>0</v>
      </c>
    </row>
    <row r="17" spans="1:6" ht="12.75">
      <c r="A17" s="36"/>
      <c r="B17" s="37"/>
      <c r="C17" s="441"/>
      <c r="D17" s="441"/>
      <c r="E17" s="441"/>
      <c r="F17" s="443">
        <f t="shared" si="0"/>
        <v>0</v>
      </c>
    </row>
    <row r="18" spans="1:6" ht="12.75">
      <c r="A18" s="36"/>
      <c r="B18" s="37"/>
      <c r="C18" s="441"/>
      <c r="D18" s="441"/>
      <c r="E18" s="441"/>
      <c r="F18" s="443">
        <f t="shared" si="0"/>
        <v>0</v>
      </c>
    </row>
    <row r="19" spans="1:6" ht="12.75">
      <c r="A19" s="36"/>
      <c r="B19" s="37"/>
      <c r="C19" s="441"/>
      <c r="D19" s="441"/>
      <c r="E19" s="441"/>
      <c r="F19" s="443">
        <f t="shared" si="0"/>
        <v>0</v>
      </c>
    </row>
    <row r="20" spans="1:6" ht="12.75">
      <c r="A20" s="36"/>
      <c r="B20" s="37"/>
      <c r="C20" s="441"/>
      <c r="D20" s="441"/>
      <c r="E20" s="441"/>
      <c r="F20" s="443">
        <f aca="true" t="shared" si="1" ref="F20:F26">C20-E20</f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1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1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1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1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1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1"/>
        <v>0</v>
      </c>
    </row>
    <row r="27" spans="1:16" ht="11.25" customHeight="1">
      <c r="A27" s="38" t="s">
        <v>564</v>
      </c>
      <c r="B27" s="39" t="s">
        <v>827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828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2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2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2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2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2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2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2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2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2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2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2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2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2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2"/>
        <v>0</v>
      </c>
    </row>
    <row r="44" spans="1:16" ht="15" customHeight="1">
      <c r="A44" s="38" t="s">
        <v>581</v>
      </c>
      <c r="B44" s="39" t="s">
        <v>829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830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3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3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3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3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3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3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3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3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3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3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3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3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3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3"/>
        <v>0</v>
      </c>
    </row>
    <row r="61" spans="1:16" ht="12" customHeight="1">
      <c r="A61" s="38" t="s">
        <v>600</v>
      </c>
      <c r="B61" s="39" t="s">
        <v>831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832</v>
      </c>
      <c r="B62" s="40"/>
      <c r="C62" s="429"/>
      <c r="D62" s="429"/>
      <c r="E62" s="429"/>
      <c r="F62" s="442"/>
    </row>
    <row r="63" spans="1:6" ht="12.75">
      <c r="A63" s="36"/>
      <c r="B63" s="40"/>
      <c r="C63" s="441"/>
      <c r="D63" s="441"/>
      <c r="E63" s="441"/>
      <c r="F63" s="443">
        <f>C63-E63</f>
        <v>0</v>
      </c>
    </row>
    <row r="64" spans="1:6" ht="12.75">
      <c r="A64" s="36"/>
      <c r="B64" s="40"/>
      <c r="C64" s="441"/>
      <c r="D64" s="441"/>
      <c r="E64" s="441"/>
      <c r="F64" s="443">
        <f aca="true" t="shared" si="4" ref="F64:F77">C64-E64</f>
        <v>0</v>
      </c>
    </row>
    <row r="65" spans="1:6" ht="12.75">
      <c r="A65" s="36"/>
      <c r="B65" s="40"/>
      <c r="C65" s="441"/>
      <c r="D65" s="441"/>
      <c r="E65" s="441"/>
      <c r="F65" s="443">
        <f t="shared" si="4"/>
        <v>0</v>
      </c>
    </row>
    <row r="66" spans="1:6" ht="12.75">
      <c r="A66" s="36"/>
      <c r="B66" s="40"/>
      <c r="C66" s="441"/>
      <c r="D66" s="441"/>
      <c r="E66" s="441"/>
      <c r="F66" s="443">
        <f t="shared" si="4"/>
        <v>0</v>
      </c>
    </row>
    <row r="67" spans="1:6" ht="12.75">
      <c r="A67" s="36"/>
      <c r="B67" s="37"/>
      <c r="C67" s="441"/>
      <c r="D67" s="441"/>
      <c r="E67" s="441"/>
      <c r="F67" s="443">
        <f t="shared" si="4"/>
        <v>0</v>
      </c>
    </row>
    <row r="68" spans="1:6" ht="12.75">
      <c r="A68" s="36"/>
      <c r="B68" s="37"/>
      <c r="C68" s="441"/>
      <c r="D68" s="441"/>
      <c r="E68" s="441"/>
      <c r="F68" s="443">
        <f t="shared" si="4"/>
        <v>0</v>
      </c>
    </row>
    <row r="69" spans="1:6" ht="12.75">
      <c r="A69" s="36"/>
      <c r="B69" s="37"/>
      <c r="C69" s="441"/>
      <c r="D69" s="441"/>
      <c r="E69" s="441"/>
      <c r="F69" s="443">
        <f t="shared" si="4"/>
        <v>0</v>
      </c>
    </row>
    <row r="70" spans="1:6" ht="12.75">
      <c r="A70" s="36"/>
      <c r="B70" s="37"/>
      <c r="C70" s="441"/>
      <c r="D70" s="441"/>
      <c r="E70" s="441"/>
      <c r="F70" s="443">
        <f t="shared" si="4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4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4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4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4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4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4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4"/>
        <v>0</v>
      </c>
    </row>
    <row r="78" spans="1:16" ht="14.25" customHeight="1">
      <c r="A78" s="38" t="s">
        <v>833</v>
      </c>
      <c r="B78" s="39" t="s">
        <v>834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835</v>
      </c>
      <c r="B79" s="39" t="s">
        <v>836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837</v>
      </c>
      <c r="B80" s="39"/>
      <c r="C80" s="429"/>
      <c r="D80" s="429"/>
      <c r="E80" s="429"/>
      <c r="F80" s="442"/>
    </row>
    <row r="81" spans="1:6" ht="14.25" customHeight="1">
      <c r="A81" s="36" t="s">
        <v>824</v>
      </c>
      <c r="B81" s="40"/>
      <c r="C81" s="429"/>
      <c r="D81" s="429"/>
      <c r="E81" s="429"/>
      <c r="F81" s="442"/>
    </row>
    <row r="82" spans="1:6" ht="12.75">
      <c r="A82" s="36" t="s">
        <v>825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826</v>
      </c>
      <c r="B83" s="40"/>
      <c r="C83" s="441"/>
      <c r="D83" s="441"/>
      <c r="E83" s="441"/>
      <c r="F83" s="443">
        <f aca="true" t="shared" si="5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5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5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5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5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5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5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5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5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5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5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5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5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5"/>
        <v>0</v>
      </c>
    </row>
    <row r="97" spans="1:16" ht="15" customHeight="1">
      <c r="A97" s="38" t="s">
        <v>564</v>
      </c>
      <c r="B97" s="39" t="s">
        <v>838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828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6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6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6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6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6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6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6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6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6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6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6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6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6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6"/>
        <v>0</v>
      </c>
    </row>
    <row r="114" spans="1:16" ht="11.25" customHeight="1">
      <c r="A114" s="38" t="s">
        <v>581</v>
      </c>
      <c r="B114" s="39" t="s">
        <v>839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830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7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7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7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7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7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7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7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7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7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7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7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7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7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7"/>
        <v>0</v>
      </c>
    </row>
    <row r="131" spans="1:16" ht="15.75" customHeight="1">
      <c r="A131" s="38" t="s">
        <v>600</v>
      </c>
      <c r="B131" s="39" t="s">
        <v>840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832</v>
      </c>
      <c r="B132" s="40"/>
      <c r="C132" s="429"/>
      <c r="D132" s="429"/>
      <c r="E132" s="429"/>
      <c r="F132" s="442"/>
    </row>
    <row r="133" spans="1:6" ht="12.75">
      <c r="A133" s="36"/>
      <c r="B133" s="40"/>
      <c r="C133" s="441"/>
      <c r="D133" s="441"/>
      <c r="E133" s="441"/>
      <c r="F133" s="443">
        <f>C133-E133</f>
        <v>0</v>
      </c>
    </row>
    <row r="134" spans="1:6" ht="12.75">
      <c r="A134" s="36"/>
      <c r="B134" s="40"/>
      <c r="C134" s="441"/>
      <c r="D134" s="441"/>
      <c r="E134" s="441"/>
      <c r="F134" s="443">
        <f aca="true" t="shared" si="8" ref="F134:F147">C134-E134</f>
        <v>0</v>
      </c>
    </row>
    <row r="135" spans="1:6" ht="12.75">
      <c r="A135" s="36"/>
      <c r="B135" s="40"/>
      <c r="C135" s="441"/>
      <c r="D135" s="441"/>
      <c r="E135" s="441"/>
      <c r="F135" s="443">
        <f t="shared" si="8"/>
        <v>0</v>
      </c>
    </row>
    <row r="136" spans="1:6" ht="12.75">
      <c r="A136" s="36"/>
      <c r="B136" s="40"/>
      <c r="C136" s="441"/>
      <c r="D136" s="441"/>
      <c r="E136" s="441"/>
      <c r="F136" s="443">
        <f t="shared" si="8"/>
        <v>0</v>
      </c>
    </row>
    <row r="137" spans="1:6" ht="12.75">
      <c r="A137" s="36"/>
      <c r="B137" s="37"/>
      <c r="C137" s="441"/>
      <c r="D137" s="441"/>
      <c r="E137" s="441"/>
      <c r="F137" s="443">
        <f t="shared" si="8"/>
        <v>0</v>
      </c>
    </row>
    <row r="138" spans="1:6" ht="12.75">
      <c r="A138" s="36"/>
      <c r="B138" s="37"/>
      <c r="C138" s="441"/>
      <c r="D138" s="441"/>
      <c r="E138" s="441"/>
      <c r="F138" s="443">
        <f t="shared" si="8"/>
        <v>0</v>
      </c>
    </row>
    <row r="139" spans="1:6" ht="12.75">
      <c r="A139" s="36"/>
      <c r="B139" s="37"/>
      <c r="C139" s="441"/>
      <c r="D139" s="441"/>
      <c r="E139" s="441"/>
      <c r="F139" s="443">
        <f t="shared" si="8"/>
        <v>0</v>
      </c>
    </row>
    <row r="140" spans="1:6" ht="12.75">
      <c r="A140" s="36"/>
      <c r="B140" s="37"/>
      <c r="C140" s="441"/>
      <c r="D140" s="441"/>
      <c r="E140" s="441"/>
      <c r="F140" s="443">
        <f t="shared" si="8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8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8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8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8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8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8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8"/>
        <v>0</v>
      </c>
    </row>
    <row r="148" spans="1:16" ht="17.25" customHeight="1">
      <c r="A148" s="38" t="s">
        <v>833</v>
      </c>
      <c r="B148" s="39" t="s">
        <v>841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842</v>
      </c>
      <c r="B149" s="39" t="s">
        <v>843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271</v>
      </c>
      <c r="B151" s="453"/>
      <c r="C151" s="637" t="s">
        <v>844</v>
      </c>
      <c r="D151" s="637"/>
      <c r="E151" s="637"/>
      <c r="F151" s="637"/>
    </row>
    <row r="152" spans="1:6" ht="12.75">
      <c r="A152" s="582">
        <v>42073</v>
      </c>
      <c r="B152" s="518"/>
      <c r="C152" s="517"/>
      <c r="D152" s="517"/>
      <c r="E152" s="517"/>
      <c r="F152" s="517"/>
    </row>
    <row r="153" spans="1:6" ht="12.75">
      <c r="A153" s="517"/>
      <c r="B153" s="518"/>
      <c r="C153" s="637" t="s">
        <v>852</v>
      </c>
      <c r="D153" s="637"/>
      <c r="E153" s="637"/>
      <c r="F153" s="637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:F77 C29:F43 C46:F60 C133:F14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Stefka Bocheva Tsolova</cp:lastModifiedBy>
  <cp:lastPrinted>2015-03-17T15:02:55Z</cp:lastPrinted>
  <dcterms:created xsi:type="dcterms:W3CDTF">2000-06-29T12:02:40Z</dcterms:created>
  <dcterms:modified xsi:type="dcterms:W3CDTF">2015-03-17T15:03:04Z</dcterms:modified>
  <cp:category/>
  <cp:version/>
  <cp:contentType/>
  <cp:contentStatus/>
</cp:coreProperties>
</file>