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5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<sst xmlns="http://schemas.openxmlformats.org/spreadsheetml/2006/main" count="1076" uniqueCount="880">
  <si>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</si>
  <si>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</si>
  <si>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</si>
  <si>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</si>
  <si>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</si>
  <si>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</si>
  <si>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</si>
  <si>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</si>
  <si>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</si>
  <si>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</si>
  <si>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</si>
  <si>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</si>
  <si>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</si>
  <si>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</si>
  <si>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</si>
  <si>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</si>
  <si>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</si>
  <si>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</si>
  <si>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</si>
  <si>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</si>
  <si>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</si>
  <si>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</si>
  <si>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</si>
  <si>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</si>
  <si>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</si>
  <si>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</si>
  <si>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</si>
  <si>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</si>
  <si>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</si>
  <si>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</si>
  <si>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</si>
  <si>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</si>
  <si>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</si>
  <si>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</si>
  <si>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</si>
  <si>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</si>
  <si>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</si>
  <si>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</si>
  <si>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</si>
  <si>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</si>
  <si>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</si>
  <si>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</si>
  <si>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</si>
  <si>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</si>
  <si>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</si>
  <si>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</si>
  <si>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</si>
  <si>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</si>
  <si>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</si>
  <si>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</si>
  <si>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</si>
  <si>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</si>
  <si>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</si>
  <si>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</si>
  <si>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</si>
  <si>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</si>
  <si>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</si>
  <si>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</si>
  <si>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</si>
  <si>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</si>
  <si>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</si>
  <si>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</si>
  <si>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</si>
  <si>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</si>
  <si>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</si>
  <si>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</si>
  <si>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</si>
  <si>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</si>
  <si>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</si>
  <si>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</si>
  <si>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</si>
  <si>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</si>
  <si>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</si>
  <si>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</si>
  <si>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</si>
  <si>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</si>
  <si>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</si>
  <si>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</si>
  <si>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</si>
  <si>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</si>
  <si>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</si>
  <si>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</si>
  <si>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</si>
  <si>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</si>
  <si>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</si>
  <si>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</si>
  <si>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</si>
  <si>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</si>
  <si>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</si>
  <si>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</si>
  <si>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</si>
  <si>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</si>
  <si>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</si>
  <si>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</si>
  <si>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</si>
  <si>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</si>
  <si>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</si>
  <si>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</si>
  <si>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</si>
  <si>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</si>
  <si>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</si>
  <si>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</si>
  <si>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</si>
  <si>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</si>
  <si>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</si>
  <si>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</si>
  <si>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</si>
  <si>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</si>
  <si>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</si>
  <si>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</si>
  <si>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</si>
  <si>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</si>
  <si>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</si>
  <si>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</si>
  <si>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</si>
  <si>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</si>
  <si>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</si>
  <si>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</si>
  <si>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</si>
  <si>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</si>
  <si>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</si>
  <si>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</si>
  <si>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</si>
  <si>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</si>
  <si>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</si>
  <si>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</si>
  <si>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</si>
  <si>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</si>
  <si>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</si>
  <si>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</si>
  <si>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</si>
  <si>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</si>
  <si>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</si>
  <si>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</si>
  <si>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</si>
  <si>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</si>
  <si>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</si>
  <si>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</si>
  <si>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</si>
  <si>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</si>
  <si>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</si>
  <si>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</si>
  <si>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</si>
  <si>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</si>
  <si>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</si>
  <si>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</si>
  <si>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</si>
  <si>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</si>
  <si>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</si>
  <si>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</si>
  <si>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</si>
  <si>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</si>
  <si>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</si>
  <si>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</si>
  <si>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</si>
  <si>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</si>
  <si>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</si>
  <si>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</si>
  <si>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</si>
  <si>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</si>
  <si>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</si>
  <si>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</si>
  <si>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</si>
  <si>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</si>
  <si>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</si>
  <si>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</si>
  <si>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</si>
  <si>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</si>
  <si>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</si>
  <si>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</si>
  <si>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</si>
  <si>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</si>
  <si>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</si>
  <si>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</si>
  <si>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</si>
  <si>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</si>
  <si>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</si>
  <si>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</si>
  <si>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</si>
  <si>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</si>
  <si>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</si>
  <si>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</si>
  <si>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</si>
  <si>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</si>
  <si>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</si>
  <si>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</si>
  <si>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</si>
  <si>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</si>
  <si>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</si>
  <si>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</si>
  <si>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</si>
  <si>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</si>
  <si>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</si>
  <si>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</si>
  <si>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</si>
  <si>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</si>
  <si>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</si>
  <si>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</si>
  <si>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</si>
  <si>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</si>
  <si>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</si>
  <si>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</si>
  <si>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</si>
  <si>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</si>
  <si>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</si>
  <si>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</si>
  <si>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</si>
  <si>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</si>
  <si>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</si>
  <si>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</si>
  <si>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</si>
  <si>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</si>
  <si>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</si>
  <si>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</si>
  <si>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</si>
  <si>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</si>
  <si>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</si>
  <si>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</si>
  <si>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</si>
  <si>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</si>
  <si>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</si>
  <si>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</si>
  <si>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</si>
  <si>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</si>
  <si>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</si>
  <si>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</si>
  <si>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</si>
  <si>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</si>
  <si>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</si>
  <si>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</si>
  <si>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</si>
  <si>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</si>
  <si>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</si>
  <si>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</si>
  <si>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</si>
  <si>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</si>
  <si>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</si>
  <si>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</si>
  <si>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</si>
  <si>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</si>
  <si>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</si>
  <si>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</si>
  <si>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</si>
  <si>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</si>
  <si>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</si>
  <si>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</si>
  <si>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</si>
  <si>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</si>
  <si>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</si>
  <si>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</si>
  <si>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</si>
  <si>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</si>
  <si>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</si>
  <si>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</si>
  <si>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</si>
  <si>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</si>
  <si>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</si>
  <si>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</si>
  <si>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</si>
  <si>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</si>
  <si>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</si>
  <si>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</si>
  <si>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</si>
  <si>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</si>
  <si>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</si>
  <si>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</si>
  <si>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</si>
  <si>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</si>
  <si>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</si>
  <si>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</si>
  <si>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</si>
  <si>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</si>
  <si>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</si>
  <si>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</si>
  <si>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</si>
  <si>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</si>
  <si>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</si>
  <si>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</si>
  <si>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</si>
  <si>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</si>
  <si>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</si>
  <si>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</si>
  <si>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</si>
  <si>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</si>
  <si>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</si>
  <si>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</si>
  <si>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</si>
  <si>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</si>
  <si>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</si>
  <si>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</si>
  <si>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</si>
  <si>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</si>
  <si>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</si>
  <si>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</si>
  <si>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</si>
  <si>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</si>
  <si>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</si>
  <si>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</si>
  <si>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</si>
  <si>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</si>
  <si>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</si>
  <si>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</si>
  <si>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</si>
  <si>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</si>
  <si>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</si>
  <si>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</si>
  <si>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</si>
  <si>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</si>
  <si>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</si>
  <si>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</si>
  <si>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</si>
  <si>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</si>
  <si>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</si>
  <si>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</si>
  <si>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</si>
  <si>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</si>
  <si>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</si>
  <si>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</si>
  <si>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</si>
  <si>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</si>
  <si>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</si>
  <si>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</si>
  <si>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</si>
  <si>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</si>
  <si>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</si>
  <si>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</si>
  <si>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</si>
  <si>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</si>
  <si>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</si>
  <si>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</si>
  <si>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</si>
  <si>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</si>
  <si>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</si>
  <si>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</si>
  <si>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</si>
  <si>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</si>
  <si>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</si>
  <si>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</si>
  <si>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</si>
  <si>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</si>
  <si>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</si>
  <si>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</si>
  <si>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</si>
  <si>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</si>
  <si>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</si>
  <si>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</si>
  <si>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</si>
  <si>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</si>
  <si>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</si>
  <si>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</si>
  <si>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</si>
  <si>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</si>
  <si>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</si>
  <si>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</si>
  <si>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</si>
  <si>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</si>
  <si>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</si>
  <si>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</si>
  <si>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</si>
  <si>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</si>
  <si>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</si>
  <si>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</si>
  <si>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</si>
  <si>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</si>
  <si>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</si>
  <si>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</si>
  <si>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</si>
  <si>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</si>
  <si>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</si>
  <si>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</si>
  <si>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</si>
  <si>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</si>
  <si>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</si>
  <si>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</si>
  <si>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</si>
  <si>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</si>
  <si>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</si>
  <si>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</si>
  <si>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</si>
  <si>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</si>
  <si>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</si>
  <si>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</si>
  <si>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</si>
  <si>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</si>
  <si>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</si>
  <si>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</si>
  <si>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</si>
  <si>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</si>
  <si>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</si>
  <si>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</si>
  <si>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</si>
  <si>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</si>
  <si>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</si>
  <si>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</si>
  <si>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</si>
  <si>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</si>
  <si>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</si>
  <si>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</si>
  <si>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</si>
  <si>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</si>
  <si>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</si>
  <si>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</si>
  <si>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</si>
  <si>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</si>
  <si>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</si>
  <si>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</si>
  <si>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</si>
  <si>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</si>
  <si>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</si>
  <si>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</si>
  <si>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</si>
  <si>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</si>
  <si>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</si>
  <si>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</si>
  <si>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</si>
  <si>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</si>
  <si>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</si>
  <si>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</si>
  <si>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</si>
  <si>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</si>
  <si>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</si>
  <si>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</si>
  <si>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</si>
  <si>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</si>
  <si>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</si>
  <si>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</si>
  <si>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</si>
  <si>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</si>
  <si>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</si>
  <si>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</si>
  <si>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</si>
  <si>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</si>
  <si>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</si>
  <si>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</si>
  <si>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</si>
  <si>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</si>
  <si>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</si>
  <si>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</si>
  <si>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</si>
  <si>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</si>
  <si>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</si>
  <si>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</si>
  <si>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</si>
  <si>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</si>
  <si>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</si>
  <si>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</si>
  <si>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</si>
  <si>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</si>
  <si>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</si>
  <si>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</si>
  <si>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</si>
  <si>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</si>
  <si>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</si>
  <si>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</si>
  <si>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</si>
  <si>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</si>
  <si>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</si>
  <si>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</si>
  <si>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</si>
  <si>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</si>
  <si>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</si>
  <si>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</si>
  <si>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</si>
  <si>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</si>
  <si>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</si>
  <si>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</si>
  <si>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</si>
  <si>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</si>
  <si>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</si>
  <si>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</si>
  <si>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</si>
  <si>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</si>
  <si>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</si>
  <si>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</si>
  <si>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</si>
  <si>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</si>
  <si>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</si>
  <si>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</si>
  <si>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</si>
  <si>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</si>
  <si>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</si>
  <si>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</si>
  <si>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</si>
  <si>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</si>
  <si>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</si>
  <si>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</si>
  <si>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</si>
  <si>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</si>
  <si>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</si>
  <si>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</si>
  <si>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</si>
  <si>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</si>
  <si>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</si>
  <si>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</si>
  <si>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</si>
  <si>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</si>
  <si>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</si>
  <si>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</si>
  <si>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</si>
  <si>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</si>
  <si>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</si>
  <si>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</si>
  <si>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</si>
  <si>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</si>
  <si>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</si>
  <si>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</si>
  <si>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</si>
  <si>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</si>
  <si>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</si>
  <si>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</si>
  <si>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</si>
  <si>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</si>
  <si>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</si>
  <si>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</si>
  <si>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</si>
  <si>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</si>
  <si>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</si>
  <si>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</si>
  <si>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</si>
  <si>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</si>
  <si>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</si>
  <si>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</si>
  <si>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</si>
  <si>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</si>
  <si>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</si>
  <si>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</si>
  <si>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</si>
  <si>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</si>
  <si>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</si>
  <si>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</si>
  <si>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</si>
  <si>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</si>
  <si>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</si>
  <si>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</si>
  <si>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</si>
  <si>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</si>
  <si>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</si>
  <si>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</si>
  <si>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</si>
  <si>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</si>
  <si>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</si>
  <si>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</si>
  <si>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</si>
  <si>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</si>
  <si>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</si>
  <si>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</si>
  <si>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</si>
  <si>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</si>
  <si>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</si>
  <si>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</si>
  <si>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</si>
  <si>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</si>
  <si>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</si>
  <si>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</si>
  <si>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</si>
  <si>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</si>
  <si>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</si>
  <si>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</si>
  <si>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</si>
  <si>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</si>
  <si>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</si>
  <si>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</si>
  <si>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</si>
  <si>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</si>
  <si>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</si>
  <si>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</si>
  <si>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</si>
  <si>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</si>
  <si>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</si>
  <si>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</si>
  <si>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</si>
  <si>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</si>
  <si>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</si>
  <si>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</si>
  <si>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</si>
  <si>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</si>
  <si>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</si>
  <si>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</si>
  <si>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</si>
  <si>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</si>
  <si>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</si>
  <si>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</si>
  <si>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</si>
  <si>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</si>
  <si>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</si>
  <si>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</si>
  <si>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</si>
  <si>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</si>
  <si>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</si>
  <si>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</si>
  <si>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</si>
  <si>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</si>
  <si>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</si>
  <si>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</si>
  <si>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</si>
  <si>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</si>
  <si>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</si>
  <si>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</si>
  <si>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</si>
  <si>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</si>
  <si>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</si>
  <si>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</si>
  <si>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</si>
  <si>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</si>
  <si>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</si>
  <si>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</si>
  <si>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</si>
  <si>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</si>
  <si>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</si>
  <si>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</si>
  <si>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</si>
  <si>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</si>
  <si>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</si>
  <si>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</si>
  <si>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</si>
  <si>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</si>
  <si>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</si>
  <si>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</si>
  <si>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</si>
  <si>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</si>
  <si>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</si>
  <si>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</si>
  <si>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</si>
  <si>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</si>
  <si>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</si>
  <si>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</si>
  <si>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</si>
  <si>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</si>
  <si>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</si>
  <si>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</si>
  <si>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</si>
  <si>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</si>
  <si>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</si>
  <si>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</si>
  <si>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</si>
  <si>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</si>
  <si>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</si>
  <si>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</si>
  <si>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</si>
  <si>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</si>
  <si>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</si>
  <si>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</si>
  <si>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</si>
  <si>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</si>
  <si>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</si>
  <si>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</si>
  <si>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</si>
  <si>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</si>
  <si>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</si>
  <si>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</si>
  <si>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</si>
  <si>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</si>
  <si>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</si>
  <si>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</si>
  <si>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</si>
  <si>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</si>
  <si>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</si>
  <si>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</si>
  <si>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</si>
  <si>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</si>
  <si>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</si>
  <si>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</si>
  <si>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</si>
  <si>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</si>
  <si>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</si>
  <si>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</si>
  <si>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</si>
  <si>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</si>
  <si>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</si>
  <si>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</si>
  <si>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</si>
  <si>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</si>
  <si>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</si>
  <si>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</si>
  <si>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</si>
  <si>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</si>
  <si>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</si>
  <si>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</si>
  <si>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</si>
  <si>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</si>
  <si>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</si>
  <si>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</si>
  <si>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</si>
  <si>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</si>
  <si>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</si>
  <si>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</si>
  <si>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</si>
  <si>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</si>
  <si>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</si>
  <si>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</si>
  <si>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</si>
  <si>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</si>
  <si>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</si>
  <si>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</si>
  <si>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</si>
  <si>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</si>
  <si>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</si>
  <si>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</si>
  <si>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</si>
  <si>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</si>
  <si>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</si>
  <si>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</si>
  <si>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</si>
  <si>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</si>
  <si>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</si>
  <si>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</si>
  <si>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</si>
  <si>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</si>
  <si>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</si>
  <si>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</si>
  <si>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</si>
  <si>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</si>
  <si>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</si>
  <si>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</si>
  <si>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</si>
  <si>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</si>
  <si>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</si>
  <si>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</si>
  <si>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</si>
  <si>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</si>
  <si>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</si>
  <si>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</si>
  <si>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</si>
  <si>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</si>
  <si>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</si>
  <si>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</si>
  <si>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</si>
  <si>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</si>
  <si>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</si>
  <si>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</si>
  <si>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</si>
  <si>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</si>
  <si>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</si>
  <si>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</si>
  <si>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</si>
  <si>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</si>
  <si>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</si>
  <si>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</si>
  <si>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</si>
  <si>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</si>
  <si>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</si>
  <si>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</si>
  <si>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</si>
  <si>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</si>
  <si>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</si>
  <si>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</si>
  <si>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</si>
  <si>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</si>
  <si>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</si>
  <si>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</si>
  <si>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</si>
  <si>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</si>
  <si>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</si>
  <si>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</si>
  <si>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</si>
  <si>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</si>
  <si>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</si>
  <si>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</si>
  <si>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</si>
  <si>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</si>
  <si>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</si>
  <si>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</si>
  <si>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</si>
  <si>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</si>
  <si>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</si>
  <si>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</si>
  <si>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</si>
  <si>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</si>
  <si>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</si>
  <si>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</si>
  <si>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</si>
  <si>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</si>
  <si>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</si>
  <si>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</si>
  <si>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</si>
  <si>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</si>
  <si>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</si>
  <si>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</si>
  <si>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</si>
  <si>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</si>
  <si>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</si>
  <si>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</si>
  <si>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</si>
  <si>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</si>
  <si>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</si>
  <si>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</si>
  <si>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</si>
  <si>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</si>
  <si>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</si>
  <si>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</si>
  <si>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</si>
  <si>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</si>
  <si>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</si>
  <si>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</si>
  <si>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</si>
  <si>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</si>
  <si>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</si>
  <si>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</si>
  <si>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</si>
  <si>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</si>
  <si>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</si>
  <si>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</si>
  <si>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</si>
  <si>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</si>
  <si>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</si>
  <si>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</si>
  <si>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</si>
  <si>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</si>
  <si>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</si>
  <si>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</si>
  <si>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</si>
  <si>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</si>
  <si>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</si>
  <si>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</si>
  <si>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</si>
  <si>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</si>
  <si>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</si>
  <si>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</si>
  <si>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</si>
  <si>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</si>
  <si>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</si>
  <si>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</si>
  <si>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</si>
  <si>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</si>
  <si>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</si>
  <si>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</si>
  <si>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</si>
  <si>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</si>
  <si>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</si>
  <si>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</si>
  <si>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</si>
  <si>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</si>
  <si>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</si>
  <si>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</si>
  <si>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</si>
  <si>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</si>
  <si>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</si>
  <si>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</si>
  <si>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</si>
  <si>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</si>
  <si>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</si>
  <si>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</si>
  <si>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</si>
  <si>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</si>
  <si>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</si>
  <si>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</si>
  <si>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</si>
  <si>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</si>
  <si>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</si>
  <si>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</si>
  <si>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</si>
  <si>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</si>
  <si>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</si>
  <si>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</si>
  <si>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</si>
  <si>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</si>
  <si>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</si>
  <si>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</si>
  <si>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</si>
  <si>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</si>
  <si>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</si>
  <si>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</si>
  <si>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</si>
  <si>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</si>
  <si>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</si>
  <si>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</si>
  <si>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</si>
  <si>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</si>
  <si>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</si>
  <si>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</si>
  <si>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 xml:space="preserve"> консолидиран</t>
  </si>
  <si>
    <t>(Т. Томов)</t>
  </si>
  <si>
    <t xml:space="preserve">                     (Т. Томов)</t>
  </si>
  <si>
    <t xml:space="preserve"> 01.01.2010 - 31.12.2010 г.</t>
  </si>
  <si>
    <t xml:space="preserve">Дата на съставяне:                21.02.2011            </t>
  </si>
  <si>
    <t xml:space="preserve">Дата  на съставяне: 21.02.2011                                                                                                              </t>
  </si>
  <si>
    <t xml:space="preserve">Дата на съставяне:21.02.2011       </t>
  </si>
  <si>
    <t>Дата на съставяне: 22.02.2011</t>
  </si>
  <si>
    <t>Дата на съставяне 21.02.2011</t>
  </si>
  <si>
    <t>Дата на съставяне: 21.02.2011  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</si>
</sst>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workbookViewId="0" topLeftCell="A1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383</v>
      </c>
      <c r="B3" s="582"/>
      <c r="C3" s="582"/>
      <c r="D3" s="582"/>
      <c r="E3" s="462" t="s">
        <v>866</v>
      </c>
      <c r="F3" s="217" t="s">
        <v>2</v>
      </c>
      <c r="G3" s="172"/>
      <c r="H3" s="461">
        <v>130542972</v>
      </c>
    </row>
    <row r="4" spans="1:8" ht="15">
      <c r="A4" s="581" t="s">
        <v>867</v>
      </c>
      <c r="B4" s="587"/>
      <c r="C4" s="587"/>
      <c r="D4" s="587"/>
      <c r="E4" s="504" t="s">
        <v>870</v>
      </c>
      <c r="F4" s="583" t="s">
        <v>3</v>
      </c>
      <c r="G4" s="584"/>
      <c r="H4" s="461" t="s">
        <v>158</v>
      </c>
    </row>
    <row r="5" spans="1:8" ht="15">
      <c r="A5" s="581" t="s">
        <v>4</v>
      </c>
      <c r="B5" s="582"/>
      <c r="C5" s="582"/>
      <c r="D5" s="582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536</v>
      </c>
      <c r="D11" s="151">
        <v>489</v>
      </c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6153</v>
      </c>
      <c r="D12" s="151">
        <v>5176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134</v>
      </c>
      <c r="D13" s="151">
        <v>192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783</v>
      </c>
      <c r="D15" s="151">
        <v>1370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147</v>
      </c>
      <c r="D16" s="151">
        <v>573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120</v>
      </c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10</v>
      </c>
      <c r="D18" s="151">
        <v>39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7763</v>
      </c>
      <c r="D19" s="155">
        <f>SUM(D11:D18)</f>
        <v>7959</v>
      </c>
      <c r="E19" s="237" t="s">
        <v>52</v>
      </c>
      <c r="F19" s="242" t="s">
        <v>53</v>
      </c>
      <c r="G19" s="152">
        <f>1433</f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3995</v>
      </c>
      <c r="H21" s="156">
        <f>SUM(H22:H24)</f>
        <v>3995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3922</v>
      </c>
      <c r="H22" s="152">
        <v>3922</v>
      </c>
    </row>
    <row r="23" spans="1:13" ht="15">
      <c r="A23" s="235" t="s">
        <v>65</v>
      </c>
      <c r="B23" s="241" t="s">
        <v>66</v>
      </c>
      <c r="C23" s="151">
        <v>53</v>
      </c>
      <c r="D23" s="151">
        <v>23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10</v>
      </c>
      <c r="E24" s="237" t="s">
        <v>71</v>
      </c>
      <c r="F24" s="242" t="s">
        <v>72</v>
      </c>
      <c r="G24" s="152">
        <v>73</v>
      </c>
      <c r="H24" s="152">
        <v>73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5428</v>
      </c>
      <c r="H25" s="154">
        <f>H19+H20+H21</f>
        <v>5428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53</v>
      </c>
      <c r="D27" s="155">
        <f>SUM(D23:D26)</f>
        <v>33</v>
      </c>
      <c r="E27" s="253" t="s">
        <v>82</v>
      </c>
      <c r="F27" s="242" t="s">
        <v>83</v>
      </c>
      <c r="G27" s="154">
        <f>SUM(G28:G30)</f>
        <v>3260</v>
      </c>
      <c r="H27" s="154">
        <f>SUM(H28:H30)</f>
        <v>2169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3299</v>
      </c>
      <c r="H28" s="152">
        <v>2208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</v>
      </c>
      <c r="H29" s="316">
        <v>-39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1084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-5554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-2294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4850</v>
      </c>
      <c r="H36" s="154">
        <f>H25+H17+H33</f>
        <v>10397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44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3179</v>
      </c>
      <c r="H44" s="152">
        <v>4091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306</v>
      </c>
      <c r="D47" s="151">
        <v>1138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3223</v>
      </c>
      <c r="H49" s="154">
        <f>SUM(H43:H48)</f>
        <v>4135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406</v>
      </c>
      <c r="D51" s="155">
        <f>SUM(D47:D50)</f>
        <v>1238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>
        <v>32</v>
      </c>
    </row>
    <row r="54" spans="1:8" ht="15">
      <c r="A54" s="235" t="s">
        <v>165</v>
      </c>
      <c r="B54" s="249" t="s">
        <v>166</v>
      </c>
      <c r="C54" s="151">
        <v>542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8764</v>
      </c>
      <c r="D55" s="155">
        <f>D19+D20+D21+D27+D32+D45+D51+D53+D54</f>
        <v>9230</v>
      </c>
      <c r="E55" s="237" t="s">
        <v>171</v>
      </c>
      <c r="F55" s="261" t="s">
        <v>172</v>
      </c>
      <c r="G55" s="154">
        <f>G49+G51+G52+G53+G54</f>
        <v>3223</v>
      </c>
      <c r="H55" s="154">
        <f>H49+H51+H52+H53+H54</f>
        <v>4167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85</v>
      </c>
      <c r="D58" s="151">
        <v>107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7489</v>
      </c>
      <c r="H59" s="152">
        <v>11047</v>
      </c>
      <c r="M59" s="157"/>
    </row>
    <row r="60" spans="1:8" ht="15">
      <c r="A60" s="235" t="s">
        <v>182</v>
      </c>
      <c r="B60" s="241" t="s">
        <v>183</v>
      </c>
      <c r="C60" s="151">
        <v>4993</v>
      </c>
      <c r="D60" s="151">
        <v>12424</v>
      </c>
      <c r="E60" s="237" t="s">
        <v>184</v>
      </c>
      <c r="F60" s="242" t="s">
        <v>185</v>
      </c>
      <c r="G60" s="152">
        <v>760</v>
      </c>
      <c r="H60" s="152">
        <v>799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4701</v>
      </c>
      <c r="H61" s="154">
        <f>SUM(H62:H68)</f>
        <v>6394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</v>
      </c>
      <c r="H62" s="152">
        <v>128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5078</v>
      </c>
      <c r="D64" s="155">
        <f>SUM(D58:D63)</f>
        <v>12531</v>
      </c>
      <c r="E64" s="237" t="s">
        <v>199</v>
      </c>
      <c r="F64" s="242" t="s">
        <v>200</v>
      </c>
      <c r="G64" s="152">
        <v>4394</v>
      </c>
      <c r="H64" s="152">
        <v>5760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61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100</v>
      </c>
    </row>
    <row r="67" spans="1:8" ht="15">
      <c r="A67" s="235" t="s">
        <v>206</v>
      </c>
      <c r="B67" s="241" t="s">
        <v>207</v>
      </c>
      <c r="C67" s="151">
        <v>4177</v>
      </c>
      <c r="D67" s="151">
        <v>411</v>
      </c>
      <c r="E67" s="237" t="s">
        <v>208</v>
      </c>
      <c r="F67" s="242" t="s">
        <v>209</v>
      </c>
      <c r="G67" s="152"/>
      <c r="H67" s="152">
        <v>31</v>
      </c>
    </row>
    <row r="68" spans="1:8" ht="15">
      <c r="A68" s="235" t="s">
        <v>210</v>
      </c>
      <c r="B68" s="241" t="s">
        <v>211</v>
      </c>
      <c r="C68" s="151">
        <v>1385</v>
      </c>
      <c r="D68" s="151">
        <v>7359</v>
      </c>
      <c r="E68" s="237" t="s">
        <v>212</v>
      </c>
      <c r="F68" s="242" t="s">
        <v>213</v>
      </c>
      <c r="G68" s="152">
        <v>294</v>
      </c>
      <c r="H68" s="152">
        <v>314</v>
      </c>
    </row>
    <row r="69" spans="1:8" ht="15">
      <c r="A69" s="235" t="s">
        <v>214</v>
      </c>
      <c r="B69" s="241" t="s">
        <v>215</v>
      </c>
      <c r="C69" s="151">
        <v>396</v>
      </c>
      <c r="D69" s="151">
        <v>375</v>
      </c>
      <c r="E69" s="251" t="s">
        <v>77</v>
      </c>
      <c r="F69" s="242" t="s">
        <v>216</v>
      </c>
      <c r="G69" s="152">
        <v>4</v>
      </c>
      <c r="H69" s="152">
        <v>113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243</v>
      </c>
      <c r="H70" s="152"/>
    </row>
    <row r="71" spans="1:18" ht="15">
      <c r="A71" s="235" t="s">
        <v>221</v>
      </c>
      <c r="B71" s="241" t="s">
        <v>222</v>
      </c>
      <c r="C71" s="151">
        <v>59</v>
      </c>
      <c r="D71" s="151"/>
      <c r="E71" s="253" t="s">
        <v>45</v>
      </c>
      <c r="F71" s="273" t="s">
        <v>223</v>
      </c>
      <c r="G71" s="161">
        <f>G59+G60+G61+G69+G70</f>
        <v>13197</v>
      </c>
      <c r="H71" s="161">
        <f>H59+H60+H61+H69+H70</f>
        <v>18353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78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732</v>
      </c>
      <c r="D74" s="151">
        <v>279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6827</v>
      </c>
      <c r="D75" s="155">
        <f>SUM(D67:D74)</f>
        <v>8484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13197</v>
      </c>
      <c r="H79" s="162">
        <f>H71+H74+H75+H76</f>
        <v>18353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465</v>
      </c>
      <c r="D87" s="151">
        <v>125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63</v>
      </c>
      <c r="D88" s="151">
        <v>2547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73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601</v>
      </c>
      <c r="D91" s="155">
        <f>SUM(D87:D90)</f>
        <v>2672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12506</v>
      </c>
      <c r="D93" s="155">
        <f>D64+D75+D84+D91+D92</f>
        <v>23687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21270</v>
      </c>
      <c r="D94" s="164">
        <f>D93+D55</f>
        <v>32917</v>
      </c>
      <c r="E94" s="449" t="s">
        <v>269</v>
      </c>
      <c r="F94" s="289" t="s">
        <v>270</v>
      </c>
      <c r="G94" s="165">
        <f>G36+G39+G55+G79</f>
        <v>21270</v>
      </c>
      <c r="H94" s="165">
        <f>H36+H39+H55+H79</f>
        <v>32917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40595</v>
      </c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1" ht="12.75">
      <c r="E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330708661417323" bottom="0.15748031496062992" header="0.15748031496062992" footer="0.15748031496062992"/>
  <pageSetup fitToHeight="1000" horizontalDpi="300" verticalDpi="300" orientation="landscape" paperSize="9" scale="64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13" sqref="G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САФ МАГЕЛАН АД</v>
      </c>
      <c r="C2" s="590"/>
      <c r="D2" s="590"/>
      <c r="E2" s="590"/>
      <c r="F2" s="578" t="s">
        <v>2</v>
      </c>
      <c r="G2" s="578"/>
      <c r="H2" s="526">
        <f>'справка №1-БАЛАНС'!H3</f>
        <v>130542972</v>
      </c>
    </row>
    <row r="3" spans="1:8" ht="15">
      <c r="A3" s="467" t="s">
        <v>274</v>
      </c>
      <c r="B3" s="590" t="str">
        <f>'справка №1-БАЛАНС'!E4</f>
        <v> консолидиран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7" t="str">
        <f>'справка №1-БАЛАНС'!E5</f>
        <v> 01.01.2010 - 31.12.2010 г.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1138</v>
      </c>
      <c r="D9" s="46">
        <v>1516</v>
      </c>
      <c r="E9" s="298" t="s">
        <v>284</v>
      </c>
      <c r="F9" s="549" t="s">
        <v>285</v>
      </c>
      <c r="G9" s="550">
        <v>24</v>
      </c>
      <c r="H9" s="550"/>
    </row>
    <row r="10" spans="1:8" ht="12">
      <c r="A10" s="298" t="s">
        <v>286</v>
      </c>
      <c r="B10" s="299" t="s">
        <v>287</v>
      </c>
      <c r="C10" s="46">
        <v>3269</v>
      </c>
      <c r="D10" s="46">
        <v>2951</v>
      </c>
      <c r="E10" s="298" t="s">
        <v>288</v>
      </c>
      <c r="F10" s="549" t="s">
        <v>289</v>
      </c>
      <c r="G10" s="550">
        <v>46928</v>
      </c>
      <c r="H10" s="550">
        <v>62194</v>
      </c>
    </row>
    <row r="11" spans="1:8" ht="12">
      <c r="A11" s="298" t="s">
        <v>290</v>
      </c>
      <c r="B11" s="299" t="s">
        <v>291</v>
      </c>
      <c r="C11" s="46">
        <v>1189</v>
      </c>
      <c r="D11" s="46">
        <v>1220</v>
      </c>
      <c r="E11" s="300" t="s">
        <v>292</v>
      </c>
      <c r="F11" s="549" t="s">
        <v>293</v>
      </c>
      <c r="G11" s="550">
        <v>231</v>
      </c>
      <c r="H11" s="550">
        <v>745</v>
      </c>
    </row>
    <row r="12" spans="1:8" ht="12">
      <c r="A12" s="298" t="s">
        <v>294</v>
      </c>
      <c r="B12" s="299" t="s">
        <v>295</v>
      </c>
      <c r="C12" s="46">
        <v>1039</v>
      </c>
      <c r="D12" s="46">
        <v>883</v>
      </c>
      <c r="E12" s="300" t="s">
        <v>77</v>
      </c>
      <c r="F12" s="549" t="s">
        <v>296</v>
      </c>
      <c r="G12" s="550">
        <v>563</v>
      </c>
      <c r="H12" s="550">
        <v>472</v>
      </c>
    </row>
    <row r="13" spans="1:18" ht="12">
      <c r="A13" s="298" t="s">
        <v>297</v>
      </c>
      <c r="B13" s="299" t="s">
        <v>298</v>
      </c>
      <c r="C13" s="46">
        <v>176</v>
      </c>
      <c r="D13" s="46">
        <v>161</v>
      </c>
      <c r="E13" s="301" t="s">
        <v>50</v>
      </c>
      <c r="F13" s="551" t="s">
        <v>299</v>
      </c>
      <c r="G13" s="548">
        <f>SUM(G9:G12)</f>
        <v>47746</v>
      </c>
      <c r="H13" s="548">
        <f>SUM(H9:H12)</f>
        <v>63411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39783</v>
      </c>
      <c r="D14" s="46">
        <v>54011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6425</v>
      </c>
      <c r="D16" s="47">
        <v>612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4312</v>
      </c>
      <c r="D17" s="48">
        <v>52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36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53019</v>
      </c>
      <c r="D19" s="49">
        <f>SUM(D9:D15)+D16</f>
        <v>61354</v>
      </c>
      <c r="E19" s="304" t="s">
        <v>316</v>
      </c>
      <c r="F19" s="552" t="s">
        <v>317</v>
      </c>
      <c r="G19" s="550">
        <v>78</v>
      </c>
      <c r="H19" s="550">
        <v>147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28</v>
      </c>
      <c r="H21" s="550"/>
    </row>
    <row r="22" spans="1:8" ht="24">
      <c r="A22" s="304" t="s">
        <v>323</v>
      </c>
      <c r="B22" s="305" t="s">
        <v>324</v>
      </c>
      <c r="C22" s="46">
        <v>821</v>
      </c>
      <c r="D22" s="46">
        <v>841</v>
      </c>
      <c r="E22" s="304" t="s">
        <v>325</v>
      </c>
      <c r="F22" s="552" t="s">
        <v>326</v>
      </c>
      <c r="G22" s="550">
        <v>166</v>
      </c>
      <c r="H22" s="550">
        <v>164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18</v>
      </c>
      <c r="H23" s="550">
        <v>24</v>
      </c>
    </row>
    <row r="24" spans="1:18" ht="12">
      <c r="A24" s="298" t="s">
        <v>331</v>
      </c>
      <c r="B24" s="305" t="s">
        <v>332</v>
      </c>
      <c r="C24" s="46">
        <v>159</v>
      </c>
      <c r="D24" s="46">
        <v>209</v>
      </c>
      <c r="E24" s="301" t="s">
        <v>102</v>
      </c>
      <c r="F24" s="554" t="s">
        <v>333</v>
      </c>
      <c r="G24" s="548">
        <f>SUM(G19:G23)</f>
        <v>290</v>
      </c>
      <c r="H24" s="548">
        <f>SUM(H19:H23)</f>
        <v>335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76</v>
      </c>
      <c r="D25" s="46">
        <v>133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1056</v>
      </c>
      <c r="D26" s="49">
        <f>SUM(D22:D25)</f>
        <v>1183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54075</v>
      </c>
      <c r="D28" s="50">
        <f>D26+D19</f>
        <v>62537</v>
      </c>
      <c r="E28" s="127" t="s">
        <v>338</v>
      </c>
      <c r="F28" s="554" t="s">
        <v>339</v>
      </c>
      <c r="G28" s="548">
        <f>G13+G15+G24</f>
        <v>48036</v>
      </c>
      <c r="H28" s="548">
        <f>H13+H15+H24</f>
        <v>63746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1209</v>
      </c>
      <c r="E30" s="127" t="s">
        <v>342</v>
      </c>
      <c r="F30" s="554" t="s">
        <v>343</v>
      </c>
      <c r="G30" s="53">
        <f>IF((C28-G28)&gt;0,C28-G28,0)</f>
        <v>6039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54075</v>
      </c>
      <c r="D33" s="49">
        <f>D28-D31+D32</f>
        <v>62537</v>
      </c>
      <c r="E33" s="127" t="s">
        <v>352</v>
      </c>
      <c r="F33" s="554" t="s">
        <v>353</v>
      </c>
      <c r="G33" s="53">
        <f>G32-G31+G28</f>
        <v>48036</v>
      </c>
      <c r="H33" s="53">
        <f>H32-H31+H28</f>
        <v>63746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1209</v>
      </c>
      <c r="E34" s="128" t="s">
        <v>356</v>
      </c>
      <c r="F34" s="554" t="s">
        <v>357</v>
      </c>
      <c r="G34" s="548">
        <f>IF((C33-G33)&gt;0,C33-G33,0)</f>
        <v>6039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-485</v>
      </c>
      <c r="D35" s="49">
        <f>D36+D37+D38</f>
        <v>125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125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-485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1084</v>
      </c>
      <c r="E39" s="313" t="s">
        <v>368</v>
      </c>
      <c r="F39" s="558" t="s">
        <v>369</v>
      </c>
      <c r="G39" s="559">
        <f>IF(G34&gt;0,IF(C35+G34&lt;0,0,C35+G34),IF(C34-C35&lt;0,C35-C34,0))</f>
        <v>5554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1084</v>
      </c>
      <c r="E41" s="127" t="s">
        <v>375</v>
      </c>
      <c r="F41" s="571" t="s">
        <v>376</v>
      </c>
      <c r="G41" s="52">
        <f>IF(C39=0,IF(G39-G40&gt;0,G39-G40+C40,0),IF(C39-C40&lt;0,C40-C39+G40,0))</f>
        <v>5554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53590</v>
      </c>
      <c r="D42" s="53">
        <f>D33+D35+D39</f>
        <v>63746</v>
      </c>
      <c r="E42" s="128" t="s">
        <v>379</v>
      </c>
      <c r="F42" s="129" t="s">
        <v>380</v>
      </c>
      <c r="G42" s="53">
        <f>G39+G33</f>
        <v>53590</v>
      </c>
      <c r="H42" s="53">
        <f>H39+H33</f>
        <v>63746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861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40595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01.01.2010 - 31.12.2010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58376</v>
      </c>
      <c r="D10" s="54">
        <v>73101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-50326</v>
      </c>
      <c r="D11" s="54">
        <v>-72773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29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-1282</v>
      </c>
      <c r="D13" s="54">
        <v>-992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-71</v>
      </c>
      <c r="D14" s="54">
        <v>-424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-49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-583</v>
      </c>
      <c r="D17" s="54">
        <v>-646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-8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91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6083</v>
      </c>
      <c r="D20" s="55">
        <f>SUM(D10:D19)</f>
        <v>-1660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-1229</v>
      </c>
      <c r="D22" s="54">
        <v>-72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100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-1229</v>
      </c>
      <c r="D32" s="55">
        <f>SUM(D22:D31)</f>
        <v>28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17584</v>
      </c>
      <c r="D36" s="54">
        <v>41237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-23376</v>
      </c>
      <c r="D37" s="54">
        <v>-36769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-1011</v>
      </c>
      <c r="D38" s="54">
        <v>-1327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-119</v>
      </c>
      <c r="D39" s="54">
        <v>10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-845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-6925</v>
      </c>
      <c r="D42" s="55">
        <f>SUM(D34:D41)</f>
        <v>2306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-2071</v>
      </c>
      <c r="D43" s="55">
        <f>D42+D32+D20</f>
        <v>674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2672</v>
      </c>
      <c r="D44" s="132">
        <v>1998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601</v>
      </c>
      <c r="D45" s="55">
        <f>D44+D43</f>
        <v>2672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601</v>
      </c>
      <c r="D46" s="56">
        <v>2672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20" zoomScaleNormal="120"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01.01.2010 - 31.12.2010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3922</v>
      </c>
      <c r="G11" s="58">
        <f>'справка №1-БАЛАНС'!H23</f>
        <v>0</v>
      </c>
      <c r="H11" s="60">
        <v>73</v>
      </c>
      <c r="I11" s="58">
        <f>'справка №1-БАЛАНС'!H28+'справка №1-БАЛАНС'!H31</f>
        <v>3292</v>
      </c>
      <c r="J11" s="58">
        <f>'справка №1-БАЛАНС'!H29+'справка №1-БАЛАНС'!H32</f>
        <v>-39</v>
      </c>
      <c r="K11" s="60"/>
      <c r="L11" s="344">
        <f>SUM(C11:K11)</f>
        <v>10397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3922</v>
      </c>
      <c r="G15" s="61">
        <f t="shared" si="2"/>
        <v>0</v>
      </c>
      <c r="H15" s="61">
        <f t="shared" si="2"/>
        <v>73</v>
      </c>
      <c r="I15" s="61">
        <f t="shared" si="2"/>
        <v>3292</v>
      </c>
      <c r="J15" s="61">
        <f t="shared" si="2"/>
        <v>-39</v>
      </c>
      <c r="K15" s="61">
        <f t="shared" si="2"/>
        <v>0</v>
      </c>
      <c r="L15" s="344">
        <f t="shared" si="1"/>
        <v>10397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-5554</v>
      </c>
      <c r="K16" s="60"/>
      <c r="L16" s="344">
        <f t="shared" si="1"/>
        <v>-5554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7</v>
      </c>
      <c r="J28" s="60"/>
      <c r="K28" s="60"/>
      <c r="L28" s="344">
        <f t="shared" si="1"/>
        <v>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3922</v>
      </c>
      <c r="G29" s="59">
        <f t="shared" si="6"/>
        <v>0</v>
      </c>
      <c r="H29" s="59">
        <f t="shared" si="6"/>
        <v>73</v>
      </c>
      <c r="I29" s="59">
        <f t="shared" si="6"/>
        <v>3299</v>
      </c>
      <c r="J29" s="59">
        <f t="shared" si="6"/>
        <v>-5593</v>
      </c>
      <c r="K29" s="59">
        <f t="shared" si="6"/>
        <v>0</v>
      </c>
      <c r="L29" s="344">
        <f t="shared" si="1"/>
        <v>4850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3922</v>
      </c>
      <c r="G32" s="59">
        <f t="shared" si="7"/>
        <v>0</v>
      </c>
      <c r="H32" s="59">
        <f t="shared" si="7"/>
        <v>73</v>
      </c>
      <c r="I32" s="59">
        <f t="shared" si="7"/>
        <v>3299</v>
      </c>
      <c r="J32" s="59">
        <f t="shared" si="7"/>
        <v>-5593</v>
      </c>
      <c r="K32" s="59">
        <f t="shared" si="7"/>
        <v>0</v>
      </c>
      <c r="L32" s="344">
        <f t="shared" si="1"/>
        <v>4850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2" t="s">
        <v>521</v>
      </c>
      <c r="E38" s="592"/>
      <c r="F38" s="538" t="s">
        <v>863</v>
      </c>
      <c r="G38" s="538"/>
      <c r="H38" s="538"/>
      <c r="I38" s="538"/>
      <c r="J38" s="15" t="s">
        <v>857</v>
      </c>
      <c r="K38" s="15"/>
      <c r="L38" s="592" t="s">
        <v>871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K1">
      <selection activeCell="M15" sqref="M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САФ МАГЕЛАН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 01.01.2010 - 31.12.2010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f>489</f>
        <v>489</v>
      </c>
      <c r="E9" s="189">
        <f>40+19</f>
        <v>59</v>
      </c>
      <c r="F9" s="189"/>
      <c r="G9" s="74">
        <f>D9+E9-F9</f>
        <v>548</v>
      </c>
      <c r="H9" s="65"/>
      <c r="I9" s="65">
        <v>12</v>
      </c>
      <c r="J9" s="74">
        <f>G9+H9-I9</f>
        <v>536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536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f>4588+909</f>
        <v>5497</v>
      </c>
      <c r="E10" s="189">
        <f>1121+28</f>
        <v>1149</v>
      </c>
      <c r="F10" s="189"/>
      <c r="G10" s="74">
        <f aca="true" t="shared" si="2" ref="G10:G39">D10+E10-F10</f>
        <v>6646</v>
      </c>
      <c r="H10" s="65"/>
      <c r="I10" s="65">
        <v>42</v>
      </c>
      <c r="J10" s="74">
        <f aca="true" t="shared" si="3" ref="J10:J39">G10+H10-I10</f>
        <v>6604</v>
      </c>
      <c r="K10" s="65">
        <f>244+77</f>
        <v>321</v>
      </c>
      <c r="L10" s="65">
        <v>130</v>
      </c>
      <c r="M10" s="65"/>
      <c r="N10" s="74">
        <f aca="true" t="shared" si="4" ref="N10:N39">K10+L10-M10</f>
        <v>451</v>
      </c>
      <c r="O10" s="65"/>
      <c r="P10" s="65"/>
      <c r="Q10" s="74">
        <f t="shared" si="0"/>
        <v>451</v>
      </c>
      <c r="R10" s="74">
        <f t="shared" si="1"/>
        <v>6153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658+311</f>
        <v>969</v>
      </c>
      <c r="E11" s="189">
        <v>461</v>
      </c>
      <c r="F11" s="189">
        <v>106</v>
      </c>
      <c r="G11" s="74">
        <f t="shared" si="2"/>
        <v>1324</v>
      </c>
      <c r="H11" s="65"/>
      <c r="I11" s="65">
        <v>286</v>
      </c>
      <c r="J11" s="74">
        <f t="shared" si="3"/>
        <v>1038</v>
      </c>
      <c r="K11" s="65">
        <f>502+267</f>
        <v>769</v>
      </c>
      <c r="L11" s="65">
        <v>240</v>
      </c>
      <c r="M11" s="65">
        <v>105</v>
      </c>
      <c r="N11" s="74">
        <f t="shared" si="4"/>
        <v>904</v>
      </c>
      <c r="O11" s="65"/>
      <c r="P11" s="65"/>
      <c r="Q11" s="74">
        <f t="shared" si="0"/>
        <v>904</v>
      </c>
      <c r="R11" s="74">
        <f t="shared" si="1"/>
        <v>134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f>2709+313</f>
        <v>3022</v>
      </c>
      <c r="E13" s="189">
        <v>120</v>
      </c>
      <c r="F13" s="189">
        <v>51</v>
      </c>
      <c r="G13" s="74">
        <f t="shared" si="2"/>
        <v>3091</v>
      </c>
      <c r="H13" s="65"/>
      <c r="I13" s="65">
        <v>58</v>
      </c>
      <c r="J13" s="74">
        <f t="shared" si="3"/>
        <v>3033</v>
      </c>
      <c r="K13" s="65">
        <f>1436+216</f>
        <v>1652</v>
      </c>
      <c r="L13" s="65">
        <v>620</v>
      </c>
      <c r="M13" s="65">
        <v>22</v>
      </c>
      <c r="N13" s="74">
        <f t="shared" si="4"/>
        <v>2250</v>
      </c>
      <c r="O13" s="65"/>
      <c r="P13" s="65"/>
      <c r="Q13" s="74">
        <f t="shared" si="0"/>
        <v>2250</v>
      </c>
      <c r="R13" s="74">
        <f t="shared" si="1"/>
        <v>783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651+229</f>
        <v>880</v>
      </c>
      <c r="E14" s="189">
        <v>51</v>
      </c>
      <c r="F14" s="189">
        <v>231</v>
      </c>
      <c r="G14" s="74">
        <f t="shared" si="2"/>
        <v>700</v>
      </c>
      <c r="H14" s="65"/>
      <c r="I14" s="65">
        <v>231</v>
      </c>
      <c r="J14" s="74">
        <f t="shared" si="3"/>
        <v>469</v>
      </c>
      <c r="K14" s="65">
        <f>216+92</f>
        <v>308</v>
      </c>
      <c r="L14" s="65">
        <v>140</v>
      </c>
      <c r="M14" s="65">
        <v>126</v>
      </c>
      <c r="N14" s="74">
        <f t="shared" si="4"/>
        <v>322</v>
      </c>
      <c r="O14" s="65"/>
      <c r="P14" s="65"/>
      <c r="Q14" s="74">
        <f t="shared" si="0"/>
        <v>322</v>
      </c>
      <c r="R14" s="74">
        <f t="shared" si="1"/>
        <v>147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515</v>
      </c>
      <c r="F15" s="457">
        <v>635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f>75+36</f>
        <v>111</v>
      </c>
      <c r="E16" s="189">
        <f>14+1</f>
        <v>15</v>
      </c>
      <c r="F16" s="189">
        <v>37</v>
      </c>
      <c r="G16" s="74">
        <f t="shared" si="2"/>
        <v>89</v>
      </c>
      <c r="H16" s="65"/>
      <c r="I16" s="65">
        <v>20</v>
      </c>
      <c r="J16" s="74">
        <f t="shared" si="3"/>
        <v>69</v>
      </c>
      <c r="K16" s="65">
        <f>39+33</f>
        <v>72</v>
      </c>
      <c r="L16" s="65">
        <v>21</v>
      </c>
      <c r="M16" s="65">
        <v>34</v>
      </c>
      <c r="N16" s="74">
        <f t="shared" si="4"/>
        <v>59</v>
      </c>
      <c r="O16" s="65"/>
      <c r="P16" s="65"/>
      <c r="Q16" s="74">
        <f aca="true" t="shared" si="5" ref="Q16:Q25">N16+O16-P16</f>
        <v>59</v>
      </c>
      <c r="R16" s="74">
        <f aca="true" t="shared" si="6" ref="R16:R25">J16-Q16</f>
        <v>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11088</v>
      </c>
      <c r="E17" s="194">
        <f>SUM(E9:E16)</f>
        <v>2370</v>
      </c>
      <c r="F17" s="194">
        <f>SUM(F9:F16)</f>
        <v>1060</v>
      </c>
      <c r="G17" s="74">
        <f t="shared" si="2"/>
        <v>12398</v>
      </c>
      <c r="H17" s="75">
        <f>SUM(H9:H16)</f>
        <v>0</v>
      </c>
      <c r="I17" s="75">
        <f>SUM(I9:I16)</f>
        <v>649</v>
      </c>
      <c r="J17" s="74">
        <f t="shared" si="3"/>
        <v>11749</v>
      </c>
      <c r="K17" s="75">
        <f>SUM(K9:K16)</f>
        <v>3122</v>
      </c>
      <c r="L17" s="75">
        <f>SUM(L9:L16)</f>
        <v>1151</v>
      </c>
      <c r="M17" s="75">
        <f>SUM(M9:M16)</f>
        <v>287</v>
      </c>
      <c r="N17" s="74">
        <f t="shared" si="4"/>
        <v>3986</v>
      </c>
      <c r="O17" s="75">
        <f>SUM(O9:O16)</f>
        <v>0</v>
      </c>
      <c r="P17" s="75">
        <f>SUM(P9:P16)</f>
        <v>0</v>
      </c>
      <c r="Q17" s="74">
        <f t="shared" si="5"/>
        <v>3986</v>
      </c>
      <c r="R17" s="74">
        <f t="shared" si="6"/>
        <v>7763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84</v>
      </c>
      <c r="E21" s="189">
        <v>13</v>
      </c>
      <c r="F21" s="189"/>
      <c r="G21" s="74">
        <f t="shared" si="2"/>
        <v>97</v>
      </c>
      <c r="H21" s="65"/>
      <c r="I21" s="65">
        <v>12</v>
      </c>
      <c r="J21" s="74">
        <f t="shared" si="3"/>
        <v>85</v>
      </c>
      <c r="K21" s="65">
        <v>61</v>
      </c>
      <c r="L21" s="65">
        <v>16</v>
      </c>
      <c r="M21" s="65"/>
      <c r="N21" s="74">
        <f t="shared" si="4"/>
        <v>77</v>
      </c>
      <c r="O21" s="65"/>
      <c r="P21" s="65"/>
      <c r="Q21" s="74">
        <f t="shared" si="5"/>
        <v>77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33+131</f>
        <v>164</v>
      </c>
      <c r="E22" s="189">
        <v>164</v>
      </c>
      <c r="F22" s="189">
        <v>131</v>
      </c>
      <c r="G22" s="74">
        <f t="shared" si="2"/>
        <v>197</v>
      </c>
      <c r="H22" s="65"/>
      <c r="I22" s="65">
        <v>107</v>
      </c>
      <c r="J22" s="74">
        <f t="shared" si="3"/>
        <v>90</v>
      </c>
      <c r="K22" s="65">
        <f>23+131</f>
        <v>154</v>
      </c>
      <c r="L22" s="65">
        <v>22</v>
      </c>
      <c r="M22" s="65">
        <v>131</v>
      </c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248</v>
      </c>
      <c r="E25" s="190">
        <f aca="true" t="shared" si="7" ref="E25:P25">SUM(E21:E24)</f>
        <v>177</v>
      </c>
      <c r="F25" s="190">
        <f t="shared" si="7"/>
        <v>131</v>
      </c>
      <c r="G25" s="67">
        <f t="shared" si="2"/>
        <v>294</v>
      </c>
      <c r="H25" s="66">
        <f t="shared" si="7"/>
        <v>0</v>
      </c>
      <c r="I25" s="66">
        <f t="shared" si="7"/>
        <v>119</v>
      </c>
      <c r="J25" s="67">
        <f t="shared" si="3"/>
        <v>175</v>
      </c>
      <c r="K25" s="66">
        <f t="shared" si="7"/>
        <v>215</v>
      </c>
      <c r="L25" s="66">
        <f t="shared" si="7"/>
        <v>38</v>
      </c>
      <c r="M25" s="66">
        <f t="shared" si="7"/>
        <v>131</v>
      </c>
      <c r="N25" s="67">
        <f t="shared" si="4"/>
        <v>122</v>
      </c>
      <c r="O25" s="66">
        <f t="shared" si="7"/>
        <v>0</v>
      </c>
      <c r="P25" s="66">
        <f t="shared" si="7"/>
        <v>0</v>
      </c>
      <c r="Q25" s="67">
        <f t="shared" si="5"/>
        <v>122</v>
      </c>
      <c r="R25" s="67">
        <f t="shared" si="6"/>
        <v>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11336</v>
      </c>
      <c r="E40" s="438">
        <f>E17+E18+E19+E25+E38+E39</f>
        <v>2547</v>
      </c>
      <c r="F40" s="438">
        <f aca="true" t="shared" si="13" ref="F40:R40">F17+F18+F19+F25+F38+F39</f>
        <v>1191</v>
      </c>
      <c r="G40" s="438">
        <f t="shared" si="13"/>
        <v>12692</v>
      </c>
      <c r="H40" s="438">
        <f t="shared" si="13"/>
        <v>0</v>
      </c>
      <c r="I40" s="438">
        <f t="shared" si="13"/>
        <v>768</v>
      </c>
      <c r="J40" s="438">
        <f t="shared" si="13"/>
        <v>11924</v>
      </c>
      <c r="K40" s="438">
        <f t="shared" si="13"/>
        <v>3337</v>
      </c>
      <c r="L40" s="438">
        <f t="shared" si="13"/>
        <v>1189</v>
      </c>
      <c r="M40" s="438">
        <f t="shared" si="13"/>
        <v>418</v>
      </c>
      <c r="N40" s="438">
        <f t="shared" si="13"/>
        <v>4108</v>
      </c>
      <c r="O40" s="438">
        <f t="shared" si="13"/>
        <v>0</v>
      </c>
      <c r="P40" s="438">
        <f t="shared" si="13"/>
        <v>0</v>
      </c>
      <c r="Q40" s="438">
        <f t="shared" si="13"/>
        <v>4108</v>
      </c>
      <c r="R40" s="438">
        <f t="shared" si="13"/>
        <v>7816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865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20" zoomScaleNormal="120" workbookViewId="0" topLeftCell="A16">
      <selection activeCell="D26" sqref="D2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01.01.2010 - 31.12.2010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406</v>
      </c>
      <c r="D11" s="119">
        <f>SUM(D12:D14)</f>
        <v>0</v>
      </c>
      <c r="E11" s="120">
        <f>SUM(E12:E14)</f>
        <v>406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306</v>
      </c>
      <c r="D12" s="108"/>
      <c r="E12" s="120">
        <f aca="true" t="shared" si="0" ref="E12:E42">C12-D12</f>
        <v>306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406</v>
      </c>
      <c r="D19" s="104">
        <f>D11+D15+D16</f>
        <v>0</v>
      </c>
      <c r="E19" s="118">
        <f>E11+E15+E16</f>
        <v>406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542</v>
      </c>
      <c r="D21" s="108">
        <v>542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4177</v>
      </c>
      <c r="D24" s="119">
        <f>SUM(D25:D27)</f>
        <v>4177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175</v>
      </c>
      <c r="D25" s="108">
        <v>175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4002</v>
      </c>
      <c r="D26" s="108">
        <v>4002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1385</v>
      </c>
      <c r="D28" s="108">
        <v>1385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396</v>
      </c>
      <c r="D29" s="108">
        <v>396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59</v>
      </c>
      <c r="D32" s="108">
        <v>59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78</v>
      </c>
      <c r="D33" s="105">
        <f>SUM(D34:D37)</f>
        <v>77</v>
      </c>
      <c r="E33" s="121">
        <f>SUM(E34:E37)</f>
        <v>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>
        <v>35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35</v>
      </c>
      <c r="D35" s="108">
        <v>35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8</v>
      </c>
      <c r="D37" s="108">
        <v>7</v>
      </c>
      <c r="E37" s="120">
        <f t="shared" si="0"/>
        <v>1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732</v>
      </c>
      <c r="D38" s="105">
        <f>SUM(D39:D42)</f>
        <v>488</v>
      </c>
      <c r="E38" s="121">
        <f>SUM(E39:E42)</f>
        <v>244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732</v>
      </c>
      <c r="D42" s="108">
        <v>488</v>
      </c>
      <c r="E42" s="120">
        <f t="shared" si="0"/>
        <v>244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6827</v>
      </c>
      <c r="D43" s="104">
        <f>D24+D28+D29+D31+D30+D32+D33+D38</f>
        <v>6582</v>
      </c>
      <c r="E43" s="118">
        <f>E24+E28+E29+E31+E30+E32+E33+E38</f>
        <v>245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7775</v>
      </c>
      <c r="D44" s="103">
        <f>D43+D21+D19+D9</f>
        <v>7124</v>
      </c>
      <c r="E44" s="118">
        <f>E43+E21+E19+E9</f>
        <v>651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44</v>
      </c>
      <c r="D52" s="103">
        <f>SUM(D53:D55)</f>
        <v>0</v>
      </c>
      <c r="E52" s="119">
        <f>C52-D52</f>
        <v>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44</v>
      </c>
      <c r="D55" s="108"/>
      <c r="E55" s="119">
        <f t="shared" si="1"/>
        <v>44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3179</v>
      </c>
      <c r="D64" s="108"/>
      <c r="E64" s="119">
        <f t="shared" si="1"/>
        <v>3179</v>
      </c>
      <c r="F64" s="110"/>
    </row>
    <row r="65" spans="1:6" ht="12">
      <c r="A65" s="396" t="s">
        <v>709</v>
      </c>
      <c r="B65" s="397" t="s">
        <v>710</v>
      </c>
      <c r="C65" s="109">
        <v>3179</v>
      </c>
      <c r="D65" s="109"/>
      <c r="E65" s="119">
        <f t="shared" si="1"/>
        <v>3179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3223</v>
      </c>
      <c r="D66" s="103">
        <f>D52+D56+D61+D62+D63+D64</f>
        <v>0</v>
      </c>
      <c r="E66" s="119">
        <f t="shared" si="1"/>
        <v>3223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</v>
      </c>
      <c r="D72" s="108">
        <v>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7489</v>
      </c>
      <c r="D75" s="103">
        <f>D76+D78</f>
        <v>7489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7489</v>
      </c>
      <c r="D76" s="108">
        <v>7489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760</v>
      </c>
      <c r="D80" s="103">
        <f>SUM(D81:D84)</f>
        <v>760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760</v>
      </c>
      <c r="D83" s="108">
        <v>760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4695</v>
      </c>
      <c r="D85" s="104">
        <f>SUM(D86:D90)+D94</f>
        <v>4695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4394</v>
      </c>
      <c r="D87" s="108">
        <v>4394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294</v>
      </c>
      <c r="D90" s="103">
        <f>SUM(D91:D93)</f>
        <v>294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25</v>
      </c>
      <c r="D91" s="108">
        <v>25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265</v>
      </c>
      <c r="D92" s="108">
        <v>265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211</v>
      </c>
      <c r="D95" s="108">
        <v>211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13161</v>
      </c>
      <c r="D96" s="104">
        <f>D85+D80+D75+D71+D95</f>
        <v>13161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16384</v>
      </c>
      <c r="D97" s="104">
        <f>D96+D68+D66</f>
        <v>13161</v>
      </c>
      <c r="E97" s="104">
        <f>E96+E68+E66</f>
        <v>3223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41</v>
      </c>
      <c r="D104" s="108">
        <v>1</v>
      </c>
      <c r="E104" s="108">
        <v>6</v>
      </c>
      <c r="F104" s="125">
        <f>C104+D104-E104</f>
        <v>36</v>
      </c>
    </row>
    <row r="105" spans="1:16" ht="12">
      <c r="A105" s="412" t="s">
        <v>777</v>
      </c>
      <c r="B105" s="395" t="s">
        <v>778</v>
      </c>
      <c r="C105" s="103">
        <f>SUM(C102:C104)</f>
        <v>41</v>
      </c>
      <c r="D105" s="103">
        <f>SUM(D102:D104)</f>
        <v>1</v>
      </c>
      <c r="E105" s="103">
        <f>SUM(E102:E104)</f>
        <v>6</v>
      </c>
      <c r="F105" s="103">
        <f>SUM(F102:F104)</f>
        <v>36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877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" sqref="A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01.01.2010 - 31.12.2010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1716330</v>
      </c>
      <c r="D12" s="98"/>
      <c r="E12" s="98"/>
      <c r="F12" s="98">
        <v>1716</v>
      </c>
      <c r="G12" s="98"/>
      <c r="H12" s="98"/>
      <c r="I12" s="434">
        <f>F12+G12-H12</f>
        <v>1716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1716330</v>
      </c>
      <c r="D17" s="85">
        <f t="shared" si="1"/>
        <v>0</v>
      </c>
      <c r="E17" s="85">
        <f t="shared" si="1"/>
        <v>0</v>
      </c>
      <c r="F17" s="85">
        <f t="shared" si="1"/>
        <v>1716</v>
      </c>
      <c r="G17" s="85">
        <f t="shared" si="1"/>
        <v>0</v>
      </c>
      <c r="H17" s="85">
        <f t="shared" si="1"/>
        <v>0</v>
      </c>
      <c r="I17" s="434">
        <f t="shared" si="0"/>
        <v>1716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9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30" t="str">
        <f>'справка №1-БАЛАНС'!E5</f>
        <v> 01.01.2010 - 31.12.2010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0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2011-02-28T12:45:25Z</cp:lastPrinted>
  <dcterms:created xsi:type="dcterms:W3CDTF">2000-06-29T12:02:40Z</dcterms:created>
  <dcterms:modified xsi:type="dcterms:W3CDTF">2011-02-28T14:50:23Z</dcterms:modified>
  <cp:category/>
  <cp:version/>
  <cp:contentType/>
  <cp:contentStatus/>
</cp:coreProperties>
</file>