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<sst xmlns="http://schemas.openxmlformats.org/spreadsheetml/2006/main" count="1073" uniqueCount="897">
  <si>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</si>
  <si>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</si>
  <si>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</si>
  <si>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</si>
  <si>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</si>
  <si>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</si>
  <si>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</si>
  <si>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</si>
  <si>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</si>
  <si>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</si>
  <si>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</si>
  <si>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</si>
  <si>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</si>
  <si>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</si>
  <si>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</si>
  <si>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</si>
  <si>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</si>
  <si>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</si>
  <si>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</si>
  <si>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</si>
  <si>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</si>
  <si>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</si>
  <si>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</si>
  <si>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</si>
  <si>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</si>
  <si>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</si>
  <si>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</si>
  <si>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</si>
  <si>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</si>
  <si>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</si>
  <si>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</si>
  <si>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</si>
  <si>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</si>
  <si>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</si>
  <si>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</si>
  <si>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</si>
  <si>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</si>
  <si>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</si>
  <si>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</si>
  <si>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</si>
  <si>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</si>
  <si>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</si>
  <si>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</si>
  <si>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</si>
  <si>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</si>
  <si>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</si>
  <si>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</si>
  <si>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</si>
  <si>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</si>
  <si>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</si>
  <si>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</si>
  <si>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</si>
  <si>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</si>
  <si>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</si>
  <si>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</si>
  <si>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</si>
  <si>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</si>
  <si>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</si>
  <si>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</si>
  <si>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</si>
  <si>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</si>
  <si>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</si>
  <si>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</si>
  <si>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</si>
  <si>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</si>
  <si>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</si>
  <si>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</si>
  <si>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</si>
  <si>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</si>
  <si>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</si>
  <si>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</si>
  <si>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</si>
  <si>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</si>
  <si>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</si>
  <si>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</si>
  <si>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</si>
  <si>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</si>
  <si>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</si>
  <si>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</si>
  <si>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</si>
  <si>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</si>
  <si>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</si>
  <si>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</si>
  <si>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</si>
  <si>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</si>
  <si>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</si>
  <si>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</si>
  <si>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</si>
  <si>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</si>
  <si>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</si>
  <si>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</si>
  <si>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</si>
  <si>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</si>
  <si>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</si>
  <si>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</si>
  <si>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</si>
  <si>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</si>
  <si>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</si>
  <si>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</si>
  <si>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</si>
  <si>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</si>
  <si>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</si>
  <si>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</si>
  <si>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</si>
  <si>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</si>
  <si>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</si>
  <si>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</si>
  <si>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</si>
  <si>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</si>
  <si>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</si>
  <si>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</si>
  <si>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</si>
  <si>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</si>
  <si>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</si>
  <si>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</si>
  <si>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</si>
  <si>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</si>
  <si>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</si>
  <si>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</si>
  <si>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</si>
  <si>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</si>
  <si>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</si>
  <si>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</si>
  <si>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</si>
  <si>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</si>
  <si>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</si>
  <si>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</si>
  <si>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</si>
  <si>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</si>
  <si>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</si>
  <si>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</si>
  <si>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</si>
  <si>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</si>
  <si>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</si>
  <si>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</si>
  <si>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</si>
  <si>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</si>
  <si>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</si>
  <si>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</si>
  <si>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</si>
  <si>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</si>
  <si>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</si>
  <si>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</si>
  <si>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</si>
  <si>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</si>
  <si>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</si>
  <si>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</si>
  <si>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</si>
  <si>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</si>
  <si>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</si>
  <si>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</si>
  <si>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</si>
  <si>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</si>
  <si>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</si>
  <si>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</si>
  <si>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</si>
  <si>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</si>
  <si>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</si>
  <si>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</si>
  <si>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</si>
  <si>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</si>
  <si>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</si>
  <si>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</si>
  <si>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</si>
  <si>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</si>
  <si>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</si>
  <si>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</si>
  <si>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</si>
  <si>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</si>
  <si>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</si>
  <si>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</si>
  <si>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</si>
  <si>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</si>
  <si>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</si>
  <si>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</si>
  <si>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</si>
  <si>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</si>
  <si>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</si>
  <si>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</si>
  <si>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</si>
  <si>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</si>
  <si>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</si>
  <si>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</si>
  <si>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</si>
  <si>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</si>
  <si>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</si>
  <si>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</si>
  <si>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</si>
  <si>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</si>
  <si>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</si>
  <si>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</si>
  <si>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</si>
  <si>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</si>
  <si>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</si>
  <si>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</si>
  <si>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</si>
  <si>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</si>
  <si>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</si>
  <si>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</si>
  <si>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</si>
  <si>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</si>
  <si>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</si>
  <si>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</si>
  <si>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</si>
  <si>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</si>
  <si>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</si>
  <si>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</si>
  <si>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</si>
  <si>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</si>
  <si>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</si>
  <si>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</si>
  <si>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</si>
  <si>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</si>
  <si>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</si>
  <si>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</si>
  <si>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</si>
  <si>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</si>
  <si>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</si>
  <si>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</si>
  <si>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</si>
  <si>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</si>
  <si>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</si>
  <si>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</si>
  <si>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</si>
  <si>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</si>
  <si>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</si>
  <si>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</si>
  <si>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</si>
  <si>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</si>
  <si>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</si>
  <si>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</si>
  <si>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</si>
  <si>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</si>
  <si>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</si>
  <si>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</si>
  <si>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</si>
  <si>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</si>
  <si>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</si>
  <si>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</si>
  <si>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</si>
  <si>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</si>
  <si>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</si>
  <si>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</si>
  <si>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</si>
  <si>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</si>
  <si>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</si>
  <si>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</si>
  <si>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</si>
  <si>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</si>
  <si>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</si>
  <si>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</si>
  <si>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</si>
  <si>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</si>
  <si>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</si>
  <si>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</si>
  <si>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</si>
  <si>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</si>
  <si>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</si>
  <si>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</si>
  <si>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</si>
  <si>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</si>
  <si>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</si>
  <si>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</si>
  <si>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</si>
  <si>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</si>
  <si>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</si>
  <si>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</si>
  <si>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</si>
  <si>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</si>
  <si>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</si>
  <si>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</si>
  <si>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</si>
  <si>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</si>
  <si>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</si>
  <si>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</si>
  <si>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</si>
  <si>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</si>
  <si>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</si>
  <si>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</si>
  <si>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</si>
  <si>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</si>
  <si>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</si>
  <si>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</si>
  <si>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</si>
  <si>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</si>
  <si>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</si>
  <si>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</si>
  <si>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</si>
  <si>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</si>
  <si>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</si>
  <si>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</si>
  <si>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</si>
  <si>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</si>
  <si>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</si>
  <si>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</si>
  <si>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</si>
  <si>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</si>
  <si>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</si>
  <si>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</si>
  <si>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</si>
  <si>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</si>
  <si>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</si>
  <si>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</si>
  <si>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</si>
  <si>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</si>
  <si>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</si>
  <si>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</si>
  <si>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</si>
  <si>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</si>
  <si>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</si>
  <si>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</si>
  <si>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</si>
  <si>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</si>
  <si>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</si>
  <si>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</si>
  <si>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</si>
  <si>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</si>
  <si>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</si>
  <si>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</si>
  <si>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</si>
  <si>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</si>
  <si>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</si>
  <si>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</si>
  <si>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</si>
  <si>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</si>
  <si>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</si>
  <si>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</si>
  <si>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</si>
  <si>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</si>
  <si>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</si>
  <si>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</si>
  <si>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</si>
  <si>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</si>
  <si>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</si>
  <si>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</si>
  <si>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</si>
  <si>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</si>
  <si>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</si>
  <si>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</si>
  <si>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</si>
  <si>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</si>
  <si>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</si>
  <si>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</si>
  <si>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</si>
  <si>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</si>
  <si>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</si>
  <si>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</si>
  <si>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</si>
  <si>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</si>
  <si>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</si>
  <si>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</si>
  <si>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</si>
  <si>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</si>
  <si>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</si>
  <si>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</si>
  <si>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</si>
  <si>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</si>
  <si>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</si>
  <si>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</si>
  <si>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</si>
  <si>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</si>
  <si>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</si>
  <si>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</si>
  <si>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</si>
  <si>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</si>
  <si>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</si>
  <si>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</si>
  <si>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</si>
  <si>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</si>
  <si>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</si>
  <si>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</si>
  <si>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</si>
  <si>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</si>
  <si>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</si>
  <si>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</si>
  <si>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</si>
  <si>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</si>
  <si>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</si>
  <si>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</si>
  <si>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</si>
  <si>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</si>
  <si>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</si>
  <si>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</si>
  <si>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</si>
  <si>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</si>
  <si>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</si>
  <si>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</si>
  <si>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</si>
  <si>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</si>
  <si>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</si>
  <si>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</si>
  <si>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</si>
  <si>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</si>
  <si>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</si>
  <si>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</si>
  <si>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</si>
  <si>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</si>
  <si>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</si>
  <si>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</si>
  <si>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</si>
  <si>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</si>
  <si>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</si>
  <si>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</si>
  <si>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</si>
  <si>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</si>
  <si>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</si>
  <si>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</si>
  <si>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</si>
  <si>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</si>
  <si>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</si>
  <si>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</si>
  <si>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</si>
  <si>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</si>
  <si>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</si>
  <si>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</si>
  <si>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</si>
  <si>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</si>
  <si>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</si>
  <si>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</si>
  <si>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</si>
  <si>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</si>
  <si>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</si>
  <si>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</si>
  <si>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</si>
  <si>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</si>
  <si>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</si>
  <si>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</si>
  <si>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</si>
  <si>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</si>
  <si>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</si>
  <si>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</si>
  <si>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</si>
  <si>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</si>
  <si>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</si>
  <si>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</si>
  <si>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</si>
  <si>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</si>
  <si>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</si>
  <si>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</si>
  <si>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</si>
  <si>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</si>
  <si>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</si>
  <si>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</si>
  <si>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</si>
  <si>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</si>
  <si>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</si>
  <si>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</si>
  <si>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</si>
  <si>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</si>
  <si>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</si>
  <si>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</si>
  <si>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</si>
  <si>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</si>
  <si>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</si>
  <si>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</si>
  <si>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</si>
  <si>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</si>
  <si>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</si>
  <si>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</si>
  <si>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</si>
  <si>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</si>
  <si>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</si>
  <si>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</si>
  <si>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</si>
  <si>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</si>
  <si>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</si>
  <si>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</si>
  <si>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</si>
  <si>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</si>
  <si>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</si>
  <si>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</si>
  <si>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</si>
  <si>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</si>
  <si>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</si>
  <si>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</si>
  <si>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</si>
  <si>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</si>
  <si>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</si>
  <si>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</si>
  <si>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</si>
  <si>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</si>
  <si>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</si>
  <si>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</si>
  <si>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</si>
  <si>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</si>
  <si>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</si>
  <si>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</si>
  <si>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</si>
  <si>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</si>
  <si>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</si>
  <si>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</si>
  <si>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</si>
  <si>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</si>
  <si>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</si>
  <si>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</si>
  <si>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</si>
  <si>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</si>
  <si>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</si>
  <si>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</si>
  <si>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</si>
  <si>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</si>
  <si>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</si>
  <si>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</si>
  <si>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</si>
  <si>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</si>
  <si>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</si>
  <si>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</si>
  <si>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</si>
  <si>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</si>
  <si>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</si>
  <si>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</si>
  <si>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</si>
  <si>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</si>
  <si>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</si>
  <si>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</si>
  <si>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</si>
  <si>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</si>
  <si>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</si>
  <si>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</si>
  <si>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</si>
  <si>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</si>
  <si>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</si>
  <si>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</si>
  <si>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</si>
  <si>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</si>
  <si>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</si>
  <si>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</si>
  <si>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</si>
  <si>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</si>
  <si>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</si>
  <si>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</si>
  <si>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</si>
  <si>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</si>
  <si>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</si>
  <si>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</si>
  <si>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</si>
  <si>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</si>
  <si>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</si>
  <si>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</si>
  <si>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</si>
  <si>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</si>
  <si>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</si>
  <si>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</si>
  <si>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</si>
  <si>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</si>
  <si>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</si>
  <si>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</si>
  <si>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</si>
  <si>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</si>
  <si>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</si>
  <si>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</si>
  <si>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</si>
  <si>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</si>
  <si>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</si>
  <si>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</si>
  <si>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</si>
  <si>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</si>
  <si>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</si>
  <si>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</si>
  <si>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</si>
  <si>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</si>
  <si>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</si>
  <si>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</si>
  <si>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</si>
  <si>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</si>
  <si>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</si>
  <si>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</si>
  <si>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</si>
  <si>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</si>
  <si>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</si>
  <si>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</si>
  <si>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</si>
  <si>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</si>
  <si>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</si>
  <si>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</si>
  <si>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</si>
  <si>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</si>
  <si>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</si>
  <si>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</si>
  <si>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</si>
  <si>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</si>
  <si>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</si>
  <si>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</si>
  <si>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</si>
  <si>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</si>
  <si>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</si>
  <si>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</si>
  <si>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</si>
  <si>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</si>
  <si>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</si>
  <si>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</si>
  <si>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</si>
  <si>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</si>
  <si>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</si>
  <si>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</si>
  <si>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</si>
  <si>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</si>
  <si>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</si>
  <si>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</si>
  <si>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</si>
  <si>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</si>
  <si>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</si>
  <si>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</si>
  <si>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</si>
  <si>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</si>
  <si>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</si>
  <si>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</si>
  <si>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</si>
  <si>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</si>
  <si>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</si>
  <si>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</si>
  <si>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</si>
  <si>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</si>
  <si>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</si>
  <si>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</si>
  <si>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</si>
  <si>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</si>
  <si>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</si>
  <si>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</si>
  <si>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</si>
  <si>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</si>
  <si>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</si>
  <si>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</si>
  <si>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</si>
  <si>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</si>
  <si>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</si>
  <si>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</si>
  <si>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</si>
  <si>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</si>
  <si>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</si>
  <si>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</si>
  <si>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</si>
  <si>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</si>
  <si>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</si>
  <si>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</si>
  <si>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</si>
  <si>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</si>
  <si>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</si>
  <si>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</si>
  <si>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</si>
  <si>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</si>
  <si>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</si>
  <si>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</si>
  <si>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</si>
  <si>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</si>
  <si>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</si>
  <si>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</si>
  <si>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</si>
  <si>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</si>
  <si>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</si>
  <si>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</si>
  <si>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</si>
  <si>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</si>
  <si>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</si>
  <si>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</si>
  <si>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</si>
  <si>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</si>
  <si>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</si>
  <si>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</si>
  <si>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</si>
  <si>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</si>
  <si>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</si>
  <si>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</si>
  <si>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</si>
  <si>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</si>
  <si>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</si>
  <si>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</si>
  <si>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</si>
  <si>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</si>
  <si>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</si>
  <si>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</si>
  <si>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</si>
  <si>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</si>
  <si>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</si>
  <si>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</si>
  <si>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</si>
  <si>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</si>
  <si>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</si>
  <si>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</si>
  <si>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</si>
  <si>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</si>
  <si>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</si>
  <si>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</si>
  <si>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</si>
  <si>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</si>
  <si>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</si>
  <si>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</si>
  <si>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</si>
  <si>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</si>
  <si>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</si>
  <si>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</si>
  <si>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</si>
  <si>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</si>
  <si>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</si>
  <si>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</si>
  <si>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</si>
  <si>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</si>
  <si>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</si>
  <si>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</si>
  <si>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</si>
  <si>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</si>
  <si>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</si>
  <si>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</si>
  <si>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</si>
  <si>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</si>
  <si>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</si>
  <si>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</si>
  <si>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</si>
  <si>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</si>
  <si>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</si>
  <si>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</si>
  <si>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</si>
  <si>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</si>
  <si>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</si>
  <si>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</si>
  <si>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</si>
  <si>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</si>
  <si>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</si>
  <si>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</si>
  <si>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</si>
  <si>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</si>
  <si>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</si>
  <si>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</si>
  <si>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</si>
  <si>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</si>
  <si>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</si>
  <si>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</si>
  <si>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</si>
  <si>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</si>
  <si>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</si>
  <si>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</si>
  <si>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</si>
  <si>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</si>
  <si>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</si>
  <si>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</si>
  <si>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</si>
  <si>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</si>
  <si>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</si>
  <si>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</si>
  <si>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</si>
  <si>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</si>
  <si>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</si>
  <si>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</si>
  <si>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</si>
  <si>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</si>
  <si>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</si>
  <si>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</si>
  <si>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</si>
  <si>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</si>
  <si>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</si>
  <si>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</si>
  <si>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</si>
  <si>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</si>
  <si>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</si>
  <si>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</si>
  <si>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</si>
  <si>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</si>
  <si>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</si>
  <si>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</si>
  <si>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</si>
  <si>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</si>
  <si>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</si>
  <si>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</si>
  <si>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</si>
  <si>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</si>
  <si>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</si>
  <si>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</si>
  <si>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</si>
  <si>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</si>
  <si>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</si>
  <si>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</si>
  <si>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</si>
  <si>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</si>
  <si>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</si>
  <si>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</si>
  <si>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</si>
  <si>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</si>
  <si>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</si>
  <si>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</si>
  <si>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</si>
  <si>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</si>
  <si>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</si>
  <si>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</si>
  <si>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</si>
  <si>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</si>
  <si>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</si>
  <si>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</si>
  <si>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</si>
  <si>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</si>
  <si>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</si>
  <si>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</si>
  <si>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</si>
  <si>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</si>
  <si>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</si>
  <si>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</si>
  <si>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</si>
  <si>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</si>
  <si>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</si>
  <si>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</si>
  <si>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</si>
  <si>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</si>
  <si>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</si>
  <si>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</si>
  <si>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</si>
  <si>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</si>
  <si>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</si>
  <si>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</si>
  <si>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</si>
  <si>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</si>
  <si>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</si>
  <si>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</si>
  <si>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</si>
  <si>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</si>
  <si>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</si>
  <si>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</si>
  <si>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</si>
  <si>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</si>
  <si>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</si>
  <si>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</si>
  <si>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</si>
  <si>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</si>
  <si>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</si>
  <si>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</si>
  <si>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</si>
  <si>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</si>
  <si>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</si>
  <si>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</si>
  <si>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</si>
  <si>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</si>
  <si>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</si>
  <si>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</si>
  <si>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</si>
  <si>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</si>
  <si>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</si>
  <si>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</si>
  <si>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</si>
  <si>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</si>
  <si>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</si>
  <si>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</si>
  <si>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</si>
  <si>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</si>
  <si>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</si>
  <si>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</si>
  <si>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</si>
  <si>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</si>
  <si>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</si>
  <si>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</si>
  <si>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</si>
  <si>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</si>
  <si>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</si>
  <si>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</si>
  <si>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</si>
  <si>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</si>
  <si>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</si>
  <si>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</si>
  <si>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</si>
  <si>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</si>
  <si>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</si>
  <si>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</si>
  <si>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</si>
  <si>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</si>
  <si>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</si>
  <si>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</si>
  <si>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</si>
  <si>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</si>
  <si>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</si>
  <si>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</si>
  <si>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>3. Албена кар  ЕООД</t>
  </si>
  <si>
    <t xml:space="preserve">1. Hotel des Masques </t>
  </si>
  <si>
    <t xml:space="preserve">               Ел.Атанасова</t>
  </si>
  <si>
    <t xml:space="preserve">               Кр.Станев</t>
  </si>
  <si>
    <t>4. Бялата лагуна АД</t>
  </si>
  <si>
    <t>2.Визит България ЕООД</t>
  </si>
  <si>
    <t>5. МЦ Медика Албена  ЕАД</t>
  </si>
  <si>
    <t>6.Албена Тур АД</t>
  </si>
  <si>
    <t>7. Диализен център  ЕООД</t>
  </si>
  <si>
    <t>8. Тихия кът АД</t>
  </si>
  <si>
    <t>9. Екоплод 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</si>
  <si>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</si>
  <si>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</si>
  <si>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</si>
  <si>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</si>
  <si>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 Албенаинвест Холдинг</t>
  </si>
  <si>
    <t>2. ЗПАД България</t>
  </si>
  <si>
    <t>3. Sunny greens</t>
  </si>
  <si>
    <t>4. Химко Враца</t>
  </si>
  <si>
    <t>5. Кремиковци АД</t>
  </si>
  <si>
    <t>1.Албена Автотранс</t>
  </si>
  <si>
    <t>2.Здравно Учреждение Медика-Албена</t>
  </si>
  <si>
    <t>10.Интерскай АД</t>
  </si>
  <si>
    <t>.</t>
  </si>
  <si>
    <t>Дата на съставяне: 25.03.2011 г.</t>
  </si>
  <si>
    <t xml:space="preserve">Дата на съставяне: 24.03.2011 г.                                    </t>
  </si>
  <si>
    <t xml:space="preserve">Дата  на съставяне:23.03.2011 г.                                                                                                                              </t>
  </si>
  <si>
    <t xml:space="preserve">Дата на съставяне:23.03.2011 г.                      </t>
  </si>
  <si>
    <t>Дата на съставяне: 28.03.2011 г.</t>
  </si>
  <si>
    <t>Дата на съставяне:28.03.2011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</si>
</sst>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54" sqref="A54"/>
    </sheetView>
  </sheetViews>
  <sheetFormatPr defaultColWidth="9.0039062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879</v>
      </c>
      <c r="B4" s="582"/>
      <c r="C4" s="582"/>
      <c r="D4" s="583"/>
      <c r="E4" s="575" t="s">
        <v>878</v>
      </c>
      <c r="F4" s="224" t="s">
        <v>3</v>
      </c>
      <c r="G4" s="225"/>
      <c r="H4" s="594">
        <v>462</v>
      </c>
    </row>
    <row r="5" spans="1:8" ht="15">
      <c r="A5" s="204" t="s">
        <v>861</v>
      </c>
      <c r="B5" s="268"/>
      <c r="C5" s="268"/>
      <c r="D5" s="268"/>
      <c r="E5" s="595">
        <v>40543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25.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50859</v>
      </c>
      <c r="D11" s="205">
        <v>51126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273943</v>
      </c>
      <c r="D12" s="205">
        <v>279463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6455</v>
      </c>
      <c r="D13" s="205">
        <v>8744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29882</v>
      </c>
      <c r="D14" s="205">
        <v>31308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1014</v>
      </c>
      <c r="D15" s="205">
        <v>1312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6025</v>
      </c>
      <c r="D16" s="205">
        <v>8596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2946</v>
      </c>
      <c r="D17" s="205">
        <v>2657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371124</v>
      </c>
      <c r="D19" s="209">
        <f>SUM(D11:D18)</f>
        <v>383206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13367</v>
      </c>
      <c r="D20" s="205">
        <v>13373</v>
      </c>
      <c r="E20" s="293" t="s">
        <v>56</v>
      </c>
      <c r="F20" s="298" t="s">
        <v>57</v>
      </c>
      <c r="G20" s="212">
        <v>81017</v>
      </c>
      <c r="H20" s="212">
        <v>81017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190227</v>
      </c>
      <c r="H21" s="210">
        <f>SUM(H22:H24)</f>
        <v>160280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453</v>
      </c>
      <c r="D24" s="205">
        <v>708</v>
      </c>
      <c r="E24" s="293" t="s">
        <v>71</v>
      </c>
      <c r="F24" s="298" t="s">
        <v>72</v>
      </c>
      <c r="G24" s="206">
        <v>189800</v>
      </c>
      <c r="H24" s="206">
        <v>159853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271244</v>
      </c>
      <c r="H25" s="208">
        <f>H19+H20+H21</f>
        <v>241297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1163</v>
      </c>
      <c r="D26" s="205">
        <v>1247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1616</v>
      </c>
      <c r="D27" s="209">
        <f>SUM(D23:D26)</f>
        <v>1955</v>
      </c>
      <c r="E27" s="309" t="s">
        <v>82</v>
      </c>
      <c r="F27" s="298" t="s">
        <v>83</v>
      </c>
      <c r="G27" s="208">
        <f>SUM(G28:G30)</f>
        <v>45692</v>
      </c>
      <c r="H27" s="208">
        <f>SUM(H28:H30)</f>
        <v>45672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45692</v>
      </c>
      <c r="H28" s="206">
        <v>45672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9337</v>
      </c>
      <c r="H31" s="206">
        <v>32020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55029</v>
      </c>
      <c r="H33" s="208">
        <f>H27+H31+H32</f>
        <v>77692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49619</v>
      </c>
      <c r="D34" s="209">
        <f>SUM(D35:D38)</f>
        <v>49617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47498</v>
      </c>
      <c r="D35" s="205">
        <v>47496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329010</v>
      </c>
      <c r="H36" s="208">
        <f>H25+H17+H33</f>
        <v>321726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1088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1033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25.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5775</v>
      </c>
      <c r="H43" s="206">
        <v>6721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79611</v>
      </c>
      <c r="H44" s="206">
        <v>98874</v>
      </c>
    </row>
    <row r="45" spans="1:15" ht="15">
      <c r="A45" s="291" t="s">
        <v>135</v>
      </c>
      <c r="B45" s="305" t="s">
        <v>136</v>
      </c>
      <c r="C45" s="209">
        <f>C34+C39+C44</f>
        <v>49619</v>
      </c>
      <c r="D45" s="209">
        <f>D34+D39+D44</f>
        <v>49617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2570</v>
      </c>
      <c r="D47" s="205">
        <v>50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295</v>
      </c>
      <c r="H48" s="206">
        <v>377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85681</v>
      </c>
      <c r="H49" s="208">
        <f>SUM(H43:H48)</f>
        <v>105972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1924</v>
      </c>
      <c r="D50" s="205">
        <v>1127</v>
      </c>
      <c r="E50" s="293"/>
      <c r="F50" s="298"/>
      <c r="G50" s="308"/>
      <c r="H50" s="208"/>
    </row>
    <row r="51" spans="1:15" ht="27">
      <c r="A51" s="291" t="s">
        <v>154</v>
      </c>
      <c r="B51" s="305" t="s">
        <v>155</v>
      </c>
      <c r="C51" s="209">
        <f>SUM(C47:C50)</f>
        <v>4494</v>
      </c>
      <c r="D51" s="209">
        <f>SUM(D47:D50)</f>
        <v>1177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14227</v>
      </c>
      <c r="H53" s="206">
        <v>13965</v>
      </c>
    </row>
    <row r="54" spans="1:8" ht="27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440220</v>
      </c>
      <c r="D55" s="209">
        <f>D19+D20+D21+D27+D32+D45+D51+D53+D54</f>
        <v>449328</v>
      </c>
      <c r="E55" s="293" t="s">
        <v>171</v>
      </c>
      <c r="F55" s="317" t="s">
        <v>172</v>
      </c>
      <c r="G55" s="208">
        <f>G49+G51+G52+G53+G54</f>
        <v>99908</v>
      </c>
      <c r="H55" s="208">
        <f>H49+H51+H52+H53+H54</f>
        <v>119937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1647</v>
      </c>
      <c r="D58" s="205">
        <v>1621</v>
      </c>
      <c r="E58" s="293" t="s">
        <v>126</v>
      </c>
      <c r="F58" s="328"/>
      <c r="G58" s="308"/>
      <c r="H58" s="208"/>
    </row>
    <row r="59" spans="1:13" ht="25.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19483</v>
      </c>
      <c r="H59" s="206">
        <v>12239</v>
      </c>
      <c r="M59" s="211"/>
    </row>
    <row r="60" spans="1:8" ht="15">
      <c r="A60" s="291" t="s">
        <v>182</v>
      </c>
      <c r="B60" s="297" t="s">
        <v>183</v>
      </c>
      <c r="C60" s="205">
        <v>822</v>
      </c>
      <c r="D60" s="205">
        <v>689</v>
      </c>
      <c r="E60" s="293" t="s">
        <v>184</v>
      </c>
      <c r="F60" s="298" t="s">
        <v>185</v>
      </c>
      <c r="G60" s="206">
        <v>1683</v>
      </c>
      <c r="H60" s="206">
        <v>931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8752</v>
      </c>
      <c r="H61" s="208">
        <f>SUM(H62:H68)</f>
        <v>8808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2877</v>
      </c>
      <c r="H62" s="206">
        <v>2249</v>
      </c>
    </row>
    <row r="63" spans="1:13" ht="15">
      <c r="A63" s="291" t="s">
        <v>194</v>
      </c>
      <c r="B63" s="297" t="s">
        <v>195</v>
      </c>
      <c r="C63" s="205">
        <v>25</v>
      </c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2494</v>
      </c>
      <c r="D64" s="209">
        <f>SUM(D58:D63)</f>
        <v>2310</v>
      </c>
      <c r="E64" s="293" t="s">
        <v>199</v>
      </c>
      <c r="F64" s="298" t="s">
        <v>200</v>
      </c>
      <c r="G64" s="206">
        <v>3049</v>
      </c>
      <c r="H64" s="206">
        <v>3108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2332</v>
      </c>
      <c r="H65" s="206">
        <v>700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309</v>
      </c>
      <c r="H66" s="206">
        <v>457</v>
      </c>
    </row>
    <row r="67" spans="1:8" ht="15">
      <c r="A67" s="291" t="s">
        <v>206</v>
      </c>
      <c r="B67" s="297" t="s">
        <v>207</v>
      </c>
      <c r="C67" s="205">
        <v>5604</v>
      </c>
      <c r="D67" s="205">
        <v>4867</v>
      </c>
      <c r="E67" s="293" t="s">
        <v>208</v>
      </c>
      <c r="F67" s="298" t="s">
        <v>209</v>
      </c>
      <c r="G67" s="206">
        <v>74</v>
      </c>
      <c r="H67" s="206">
        <v>103</v>
      </c>
    </row>
    <row r="68" spans="1:8" ht="15">
      <c r="A68" s="291" t="s">
        <v>210</v>
      </c>
      <c r="B68" s="297" t="s">
        <v>211</v>
      </c>
      <c r="C68" s="205">
        <v>3104</v>
      </c>
      <c r="D68" s="205">
        <v>3322</v>
      </c>
      <c r="E68" s="293" t="s">
        <v>212</v>
      </c>
      <c r="F68" s="298" t="s">
        <v>213</v>
      </c>
      <c r="G68" s="206">
        <v>111</v>
      </c>
      <c r="H68" s="206">
        <v>2191</v>
      </c>
    </row>
    <row r="69" spans="1:8" ht="15">
      <c r="A69" s="291" t="s">
        <v>214</v>
      </c>
      <c r="B69" s="297" t="s">
        <v>215</v>
      </c>
      <c r="C69" s="205">
        <v>931</v>
      </c>
      <c r="D69" s="205">
        <v>591</v>
      </c>
      <c r="E69" s="307" t="s">
        <v>77</v>
      </c>
      <c r="F69" s="298" t="s">
        <v>216</v>
      </c>
      <c r="G69" s="206">
        <v>452</v>
      </c>
      <c r="H69" s="206">
        <v>738</v>
      </c>
    </row>
    <row r="70" spans="1:8" ht="25.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619</v>
      </c>
      <c r="D71" s="205">
        <v>302</v>
      </c>
      <c r="E71" s="309" t="s">
        <v>45</v>
      </c>
      <c r="F71" s="329" t="s">
        <v>223</v>
      </c>
      <c r="G71" s="215">
        <f>G59+G60+G61+G69+G70</f>
        <v>30370</v>
      </c>
      <c r="H71" s="215">
        <f>H59+H60+H61+H69+H70</f>
        <v>22716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362</v>
      </c>
      <c r="D72" s="205">
        <v>174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27">
      <c r="A74" s="291" t="s">
        <v>228</v>
      </c>
      <c r="B74" s="297" t="s">
        <v>229</v>
      </c>
      <c r="C74" s="205">
        <v>362</v>
      </c>
      <c r="D74" s="205">
        <v>222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10982</v>
      </c>
      <c r="D75" s="209">
        <f>SUM(D67:D74)</f>
        <v>9478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27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25.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30370</v>
      </c>
      <c r="H79" s="216">
        <f>H71+H74+H75+H76</f>
        <v>22716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25.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15</v>
      </c>
      <c r="D87" s="205">
        <v>13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5542</v>
      </c>
      <c r="D88" s="205">
        <v>3218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35</v>
      </c>
      <c r="D89" s="205">
        <v>32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5592</v>
      </c>
      <c r="D91" s="209">
        <f>SUM(D87:D90)</f>
        <v>3263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19068</v>
      </c>
      <c r="D93" s="209">
        <f>D64+D75+D84+D91+D92</f>
        <v>15051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6.25" thickBot="1">
      <c r="A94" s="556" t="s">
        <v>267</v>
      </c>
      <c r="B94" s="344" t="s">
        <v>268</v>
      </c>
      <c r="C94" s="218">
        <f>C93+C55</f>
        <v>459288</v>
      </c>
      <c r="D94" s="218">
        <f>D93+D55</f>
        <v>464379</v>
      </c>
      <c r="E94" s="557" t="s">
        <v>269</v>
      </c>
      <c r="F94" s="345" t="s">
        <v>270</v>
      </c>
      <c r="G94" s="219">
        <f>G36+G39+G55+G79</f>
        <v>459288</v>
      </c>
      <c r="H94" s="219">
        <f>H36+H39+H55+H79</f>
        <v>464379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891</v>
      </c>
      <c r="B98" s="539"/>
      <c r="C98" s="613" t="s">
        <v>817</v>
      </c>
      <c r="D98" s="613"/>
      <c r="E98" s="613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613" t="s">
        <v>779</v>
      </c>
      <c r="D100" s="614"/>
      <c r="E100" s="614"/>
    </row>
    <row r="101" ht="12.75">
      <c r="D101" s="223" t="s">
        <v>859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38" sqref="C3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7" t="s">
        <v>2</v>
      </c>
      <c r="G2" s="617"/>
      <c r="H2" s="353">
        <f>'справка №1-БАЛАНС'!H3</f>
        <v>834025872</v>
      </c>
    </row>
    <row r="3" spans="1:8" ht="15">
      <c r="A3" s="6" t="s">
        <v>880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40543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24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9749</v>
      </c>
      <c r="D9" s="79">
        <v>7448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11514</v>
      </c>
      <c r="D10" s="79">
        <v>10222</v>
      </c>
      <c r="E10" s="363" t="s">
        <v>285</v>
      </c>
      <c r="F10" s="365" t="s">
        <v>286</v>
      </c>
      <c r="G10" s="87">
        <v>38128</v>
      </c>
      <c r="H10" s="87">
        <v>38728</v>
      </c>
    </row>
    <row r="11" spans="1:8" ht="12">
      <c r="A11" s="363" t="s">
        <v>287</v>
      </c>
      <c r="B11" s="364" t="s">
        <v>288</v>
      </c>
      <c r="C11" s="79">
        <v>15858</v>
      </c>
      <c r="D11" s="79">
        <v>16293</v>
      </c>
      <c r="E11" s="366" t="s">
        <v>289</v>
      </c>
      <c r="F11" s="365" t="s">
        <v>290</v>
      </c>
      <c r="G11" s="87">
        <v>31961</v>
      </c>
      <c r="H11" s="87">
        <v>32622</v>
      </c>
    </row>
    <row r="12" spans="1:8" ht="12">
      <c r="A12" s="363" t="s">
        <v>291</v>
      </c>
      <c r="B12" s="364" t="s">
        <v>292</v>
      </c>
      <c r="C12" s="79">
        <v>11057</v>
      </c>
      <c r="D12" s="79">
        <v>10163</v>
      </c>
      <c r="E12" s="366" t="s">
        <v>77</v>
      </c>
      <c r="F12" s="365" t="s">
        <v>293</v>
      </c>
      <c r="G12" s="87">
        <v>8488</v>
      </c>
      <c r="H12" s="87">
        <v>11863</v>
      </c>
    </row>
    <row r="13" spans="1:18" ht="12">
      <c r="A13" s="363" t="s">
        <v>294</v>
      </c>
      <c r="B13" s="364" t="s">
        <v>295</v>
      </c>
      <c r="C13" s="79">
        <v>1624</v>
      </c>
      <c r="D13" s="79">
        <v>1568</v>
      </c>
      <c r="E13" s="367" t="s">
        <v>50</v>
      </c>
      <c r="F13" s="368" t="s">
        <v>296</v>
      </c>
      <c r="G13" s="88">
        <f>SUM(G9:G12)</f>
        <v>78577</v>
      </c>
      <c r="H13" s="88">
        <f>SUM(H9:H12)</f>
        <v>83213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24">
      <c r="A14" s="363" t="s">
        <v>297</v>
      </c>
      <c r="B14" s="364" t="s">
        <v>298</v>
      </c>
      <c r="C14" s="79">
        <v>15240</v>
      </c>
      <c r="D14" s="79">
        <v>14136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15</v>
      </c>
      <c r="H15" s="87"/>
    </row>
    <row r="16" spans="1:8" ht="12">
      <c r="A16" s="363" t="s">
        <v>303</v>
      </c>
      <c r="B16" s="364" t="s">
        <v>304</v>
      </c>
      <c r="C16" s="80">
        <v>1381</v>
      </c>
      <c r="D16" s="80">
        <v>1913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66423</v>
      </c>
      <c r="D19" s="82">
        <f>SUM(D9:D15)+D16</f>
        <v>61743</v>
      </c>
      <c r="E19" s="373" t="s">
        <v>313</v>
      </c>
      <c r="F19" s="369" t="s">
        <v>314</v>
      </c>
      <c r="G19" s="87">
        <v>338</v>
      </c>
      <c r="H19" s="87">
        <v>325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686</v>
      </c>
      <c r="H20" s="87">
        <v>580</v>
      </c>
    </row>
    <row r="21" spans="1:8" ht="36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>
        <v>17008</v>
      </c>
    </row>
    <row r="22" spans="1:8" ht="24">
      <c r="A22" s="360" t="s">
        <v>320</v>
      </c>
      <c r="B22" s="375" t="s">
        <v>321</v>
      </c>
      <c r="C22" s="79">
        <v>3126</v>
      </c>
      <c r="D22" s="79">
        <v>4200</v>
      </c>
      <c r="E22" s="373" t="s">
        <v>322</v>
      </c>
      <c r="F22" s="369" t="s">
        <v>323</v>
      </c>
      <c r="G22" s="87">
        <v>632</v>
      </c>
      <c r="H22" s="87">
        <v>594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24">
      <c r="A24" s="363" t="s">
        <v>328</v>
      </c>
      <c r="B24" s="375" t="s">
        <v>329</v>
      </c>
      <c r="C24" s="79">
        <v>8</v>
      </c>
      <c r="D24" s="79">
        <v>52</v>
      </c>
      <c r="E24" s="367" t="s">
        <v>102</v>
      </c>
      <c r="F24" s="370" t="s">
        <v>330</v>
      </c>
      <c r="G24" s="88">
        <f>SUM(G19:G23)</f>
        <v>1656</v>
      </c>
      <c r="H24" s="88">
        <f>SUM(H19:H23)</f>
        <v>18507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357</v>
      </c>
      <c r="D25" s="79">
        <v>173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3491</v>
      </c>
      <c r="D26" s="82">
        <f>SUM(D22:D25)</f>
        <v>4425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69914</v>
      </c>
      <c r="D28" s="83">
        <f>D26+D19</f>
        <v>66168</v>
      </c>
      <c r="E28" s="174" t="s">
        <v>335</v>
      </c>
      <c r="F28" s="370" t="s">
        <v>336</v>
      </c>
      <c r="G28" s="88">
        <f>G13+G15+G24</f>
        <v>80248</v>
      </c>
      <c r="H28" s="88">
        <f>H13+H15+H24</f>
        <v>101720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10334</v>
      </c>
      <c r="D30" s="83">
        <f>IF((H28-D28)&gt;0,H28-D28,0)</f>
        <v>35552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36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69914</v>
      </c>
      <c r="D33" s="82">
        <f>D28+D31+D32</f>
        <v>66168</v>
      </c>
      <c r="E33" s="174" t="s">
        <v>349</v>
      </c>
      <c r="F33" s="370" t="s">
        <v>350</v>
      </c>
      <c r="G33" s="90">
        <f>G32+G31+G28</f>
        <v>80248</v>
      </c>
      <c r="H33" s="90">
        <f>H32+H31+H28</f>
        <v>101720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24">
      <c r="A34" s="379" t="s">
        <v>351</v>
      </c>
      <c r="B34" s="357" t="s">
        <v>352</v>
      </c>
      <c r="C34" s="83">
        <f>IF((G33-C33)&gt;0,G33-C33,0)</f>
        <v>10334</v>
      </c>
      <c r="D34" s="83">
        <f>IF((H33-D33)&gt;0,H33-D33,0)</f>
        <v>35552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997</v>
      </c>
      <c r="D35" s="82">
        <f>D36+D37+D38</f>
        <v>3532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24">
      <c r="A36" s="381" t="s">
        <v>357</v>
      </c>
      <c r="B36" s="375" t="s">
        <v>358</v>
      </c>
      <c r="C36" s="79"/>
      <c r="D36" s="79">
        <v>3191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>
        <v>262</v>
      </c>
      <c r="D37" s="537">
        <v>341</v>
      </c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>
        <v>735</v>
      </c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9337</v>
      </c>
      <c r="D39" s="569">
        <f>+IF((H33-D33-D35)&gt;0,H33-D33-D35,0)</f>
        <v>32020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24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24">
      <c r="A41" s="174" t="s">
        <v>370</v>
      </c>
      <c r="B41" s="356" t="s">
        <v>371</v>
      </c>
      <c r="C41" s="85">
        <f>IF(G39=0,IF(C39-C40&gt;0,C39-C40+G40,0),IF(G39-G40&lt;0,G40-G39+C39,0))</f>
        <v>9337</v>
      </c>
      <c r="D41" s="85">
        <f>IF(H39=0,IF(D39-D40&gt;0,D39-D40+H40,0),IF(H39-H40&lt;0,H40-H39+D39,0))</f>
        <v>32020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80248</v>
      </c>
      <c r="D42" s="86">
        <f>D33+D35+D39</f>
        <v>101720</v>
      </c>
      <c r="E42" s="177" t="s">
        <v>376</v>
      </c>
      <c r="F42" s="178" t="s">
        <v>377</v>
      </c>
      <c r="G42" s="90">
        <f>G39+G33</f>
        <v>80248</v>
      </c>
      <c r="H42" s="90">
        <f>H39+H33</f>
        <v>101720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5"/>
      <c r="E44" s="615"/>
      <c r="F44" s="615"/>
      <c r="G44" s="615"/>
      <c r="H44" s="615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860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6"/>
      <c r="E46" s="616"/>
      <c r="F46" s="616"/>
      <c r="G46" s="616"/>
      <c r="H46" s="616"/>
    </row>
    <row r="47" spans="1:8" ht="12">
      <c r="A47" s="29"/>
      <c r="B47" s="530"/>
      <c r="C47" s="531"/>
      <c r="D47" s="531" t="s">
        <v>859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2" sqref="C12"/>
    </sheetView>
  </sheetViews>
  <sheetFormatPr defaultColWidth="9.0039062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881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40178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84245</v>
      </c>
      <c r="D10" s="92">
        <v>85160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-38983</v>
      </c>
      <c r="D11" s="92">
        <v>-37074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-12783</v>
      </c>
      <c r="D13" s="92">
        <v>-10700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24">
      <c r="A14" s="410" t="s">
        <v>392</v>
      </c>
      <c r="B14" s="411" t="s">
        <v>393</v>
      </c>
      <c r="C14" s="92">
        <v>-2778</v>
      </c>
      <c r="D14" s="92">
        <v>-5412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-3097</v>
      </c>
      <c r="D15" s="92">
        <v>-506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195</v>
      </c>
      <c r="D16" s="92">
        <v>25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-276</v>
      </c>
      <c r="D17" s="92">
        <v>-130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97</v>
      </c>
      <c r="D18" s="92">
        <v>97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550</v>
      </c>
      <c r="D19" s="92">
        <v>-307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27170</v>
      </c>
      <c r="D20" s="93">
        <f>SUM(D10:D19)</f>
        <v>31153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-5606</v>
      </c>
      <c r="D22" s="92">
        <v>-5145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>
        <v>4</v>
      </c>
      <c r="D23" s="92">
        <v>1332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-5497</v>
      </c>
      <c r="D24" s="92">
        <v>-1751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24">
      <c r="A25" s="410" t="s">
        <v>413</v>
      </c>
      <c r="B25" s="411" t="s">
        <v>414</v>
      </c>
      <c r="C25" s="92">
        <v>2999</v>
      </c>
      <c r="D25" s="92">
        <v>70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>
        <v>60</v>
      </c>
      <c r="D26" s="92">
        <v>44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-2</v>
      </c>
      <c r="D27" s="92">
        <v>-23939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>
        <v>22577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327</v>
      </c>
      <c r="D29" s="92">
        <v>198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-7715</v>
      </c>
      <c r="D32" s="93">
        <f>SUM(D22:D31)</f>
        <v>-6614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12467</v>
      </c>
      <c r="D36" s="92">
        <v>22599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-24762</v>
      </c>
      <c r="D37" s="92">
        <v>-38899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-81</v>
      </c>
      <c r="D38" s="92">
        <v>-46</v>
      </c>
      <c r="E38" s="181"/>
      <c r="F38" s="181"/>
      <c r="G38" s="182"/>
    </row>
    <row r="39" spans="1:7" ht="24">
      <c r="A39" s="410" t="s">
        <v>439</v>
      </c>
      <c r="B39" s="411" t="s">
        <v>440</v>
      </c>
      <c r="C39" s="92">
        <v>-3333</v>
      </c>
      <c r="D39" s="92">
        <v>-3839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-1420</v>
      </c>
      <c r="D40" s="92">
        <v>-1578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-17129</v>
      </c>
      <c r="D42" s="93">
        <f>SUM(D34:D41)</f>
        <v>-21763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2326</v>
      </c>
      <c r="D43" s="93">
        <f>D42+D32+D20</f>
        <v>2776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3231</v>
      </c>
      <c r="D44" s="184">
        <v>455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5557</v>
      </c>
      <c r="D45" s="93">
        <f>D44+D43</f>
        <v>3231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5557</v>
      </c>
      <c r="D46" s="94">
        <v>3231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35</v>
      </c>
      <c r="D47" s="94">
        <v>32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892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8"/>
      <c r="D50" s="618"/>
      <c r="G50" s="186"/>
      <c r="H50" s="186"/>
    </row>
    <row r="51" spans="1:8" ht="24">
      <c r="A51" s="546"/>
      <c r="B51" s="546" t="s">
        <v>862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8"/>
      <c r="D52" s="618"/>
      <c r="G52" s="186"/>
      <c r="H52" s="186"/>
    </row>
    <row r="53" spans="1:8" ht="24">
      <c r="A53" s="546"/>
      <c r="B53" s="546" t="s">
        <v>863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C6" sqref="C6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19" t="s">
        <v>457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1" t="str">
        <f>'справка №1-БАЛАНС'!E3</f>
        <v>" АЛБЕНА"  АД</v>
      </c>
      <c r="D3" s="622"/>
      <c r="E3" s="622"/>
      <c r="F3" s="622"/>
      <c r="G3" s="622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1" t="str">
        <f>'справка №1-БАЛАНС'!E4</f>
        <v>неконсолидиран </v>
      </c>
      <c r="D4" s="621"/>
      <c r="E4" s="623"/>
      <c r="F4" s="621"/>
      <c r="G4" s="621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4">
        <v>40543</v>
      </c>
      <c r="D5" s="622"/>
      <c r="E5" s="622"/>
      <c r="F5" s="622"/>
      <c r="G5" s="622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81017</v>
      </c>
      <c r="F11" s="96">
        <f>'справка №1-БАЛАНС'!H22</f>
        <v>427</v>
      </c>
      <c r="G11" s="96">
        <f>'справка №1-БАЛАНС'!H23</f>
        <v>0</v>
      </c>
      <c r="H11" s="98">
        <v>159853</v>
      </c>
      <c r="I11" s="96">
        <f>'справка №1-БАЛАНС'!H28+'справка №1-БАЛАНС'!H31</f>
        <v>77692</v>
      </c>
      <c r="J11" s="96">
        <f>'справка №1-БАЛАНС'!H29+'справка №1-БАЛАНС'!H32</f>
        <v>0</v>
      </c>
      <c r="K11" s="98"/>
      <c r="L11" s="424">
        <f>SUM(C11:K11)</f>
        <v>321726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81017</v>
      </c>
      <c r="F15" s="99">
        <f t="shared" si="2"/>
        <v>427</v>
      </c>
      <c r="G15" s="99">
        <f t="shared" si="2"/>
        <v>0</v>
      </c>
      <c r="H15" s="99">
        <f t="shared" si="2"/>
        <v>159853</v>
      </c>
      <c r="I15" s="99">
        <f t="shared" si="2"/>
        <v>77692</v>
      </c>
      <c r="J15" s="99">
        <f t="shared" si="2"/>
        <v>0</v>
      </c>
      <c r="K15" s="99">
        <f t="shared" si="2"/>
        <v>0</v>
      </c>
      <c r="L15" s="424">
        <f t="shared" si="1"/>
        <v>321726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9337</v>
      </c>
      <c r="J16" s="425">
        <f>+'справка №1-БАЛАНС'!G32</f>
        <v>0</v>
      </c>
      <c r="K16" s="98"/>
      <c r="L16" s="424">
        <f t="shared" si="1"/>
        <v>9337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29947</v>
      </c>
      <c r="I17" s="100">
        <f t="shared" si="3"/>
        <v>-32020</v>
      </c>
      <c r="J17" s="100">
        <f>J18+J19</f>
        <v>0</v>
      </c>
      <c r="K17" s="100">
        <f t="shared" si="3"/>
        <v>0</v>
      </c>
      <c r="L17" s="424">
        <f t="shared" si="1"/>
        <v>-2073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-2073</v>
      </c>
      <c r="J18" s="98"/>
      <c r="K18" s="98"/>
      <c r="L18" s="424">
        <f t="shared" si="1"/>
        <v>-2073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>
        <v>29947</v>
      </c>
      <c r="I19" s="98">
        <v>-29947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>
        <v>20</v>
      </c>
      <c r="J28" s="98"/>
      <c r="K28" s="98"/>
      <c r="L28" s="424">
        <f t="shared" si="1"/>
        <v>20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81017</v>
      </c>
      <c r="F29" s="97">
        <f t="shared" si="6"/>
        <v>427</v>
      </c>
      <c r="G29" s="97">
        <f t="shared" si="6"/>
        <v>0</v>
      </c>
      <c r="H29" s="97">
        <f t="shared" si="6"/>
        <v>189800</v>
      </c>
      <c r="I29" s="97">
        <f t="shared" si="6"/>
        <v>55029</v>
      </c>
      <c r="J29" s="97">
        <f t="shared" si="6"/>
        <v>0</v>
      </c>
      <c r="K29" s="97">
        <f t="shared" si="6"/>
        <v>0</v>
      </c>
      <c r="L29" s="424">
        <f t="shared" si="1"/>
        <v>329010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81017</v>
      </c>
      <c r="F32" s="97">
        <f t="shared" si="7"/>
        <v>427</v>
      </c>
      <c r="G32" s="97">
        <f t="shared" si="7"/>
        <v>0</v>
      </c>
      <c r="H32" s="97">
        <f t="shared" si="7"/>
        <v>189800</v>
      </c>
      <c r="I32" s="97">
        <f t="shared" si="7"/>
        <v>55029</v>
      </c>
      <c r="J32" s="97">
        <f t="shared" si="7"/>
        <v>0</v>
      </c>
      <c r="K32" s="97">
        <f t="shared" si="7"/>
        <v>0</v>
      </c>
      <c r="L32" s="424">
        <f t="shared" si="1"/>
        <v>329010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893</v>
      </c>
      <c r="B35" s="37"/>
      <c r="C35" s="24"/>
      <c r="D35" s="620" t="s">
        <v>519</v>
      </c>
      <c r="E35" s="620"/>
      <c r="F35" s="620"/>
      <c r="G35" s="620"/>
      <c r="H35" s="620"/>
      <c r="I35" s="620"/>
      <c r="J35" s="24" t="s">
        <v>853</v>
      </c>
      <c r="K35" s="24"/>
      <c r="L35" s="620"/>
      <c r="M35" s="620"/>
      <c r="N35" s="19"/>
    </row>
    <row r="36" spans="1:13" ht="12">
      <c r="A36" s="430"/>
      <c r="B36" s="431"/>
      <c r="C36" s="432"/>
      <c r="D36" s="432"/>
      <c r="E36" s="432" t="s">
        <v>860</v>
      </c>
      <c r="F36" s="432"/>
      <c r="G36" s="432"/>
      <c r="H36" s="432"/>
      <c r="I36" s="432"/>
      <c r="J36" s="432"/>
      <c r="K36" s="432" t="s">
        <v>859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E4" sqref="E4:G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5" t="s">
        <v>381</v>
      </c>
      <c r="B2" s="626"/>
      <c r="C2" s="584"/>
      <c r="D2" s="584"/>
      <c r="E2" s="621" t="str">
        <f>'справка №1-БАЛАНС'!E3</f>
        <v>" АЛБЕНА"  АД</v>
      </c>
      <c r="F2" s="627"/>
      <c r="G2" s="627"/>
      <c r="H2" s="584"/>
      <c r="I2" s="441"/>
      <c r="J2" s="441"/>
      <c r="K2" s="441"/>
      <c r="L2" s="441"/>
      <c r="M2" s="629" t="s">
        <v>2</v>
      </c>
      <c r="N2" s="630"/>
      <c r="O2" s="630"/>
      <c r="P2" s="631">
        <f>'справка №1-БАЛАНС'!H3</f>
        <v>834025872</v>
      </c>
      <c r="Q2" s="631"/>
      <c r="R2" s="353"/>
    </row>
    <row r="3" spans="1:18" ht="15">
      <c r="A3" s="625" t="s">
        <v>4</v>
      </c>
      <c r="B3" s="626"/>
      <c r="C3" s="585"/>
      <c r="D3" s="585"/>
      <c r="E3" s="624">
        <v>40543</v>
      </c>
      <c r="F3" s="628"/>
      <c r="G3" s="628"/>
      <c r="H3" s="443"/>
      <c r="I3" s="443"/>
      <c r="J3" s="443"/>
      <c r="K3" s="443"/>
      <c r="L3" s="443"/>
      <c r="M3" s="632" t="s">
        <v>3</v>
      </c>
      <c r="N3" s="632"/>
      <c r="O3" s="576"/>
      <c r="P3" s="633">
        <f>'справка №1-БАЛАНС'!H4</f>
        <v>462</v>
      </c>
      <c r="Q3" s="633"/>
      <c r="R3" s="354"/>
    </row>
    <row r="4" spans="1:18" ht="12.75">
      <c r="A4" s="436" t="s">
        <v>521</v>
      </c>
      <c r="B4" s="442"/>
      <c r="C4" s="442"/>
      <c r="D4" s="443"/>
      <c r="E4" s="636"/>
      <c r="F4" s="606"/>
      <c r="G4" s="60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07" t="s">
        <v>461</v>
      </c>
      <c r="B5" s="608"/>
      <c r="C5" s="611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34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34" t="s">
        <v>527</v>
      </c>
      <c r="R5" s="634" t="s">
        <v>528</v>
      </c>
    </row>
    <row r="6" spans="1:18" s="44" customFormat="1" ht="60">
      <c r="A6" s="609"/>
      <c r="B6" s="610"/>
      <c r="C6" s="612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35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35"/>
      <c r="R6" s="635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51126</v>
      </c>
      <c r="E9" s="243">
        <v>1</v>
      </c>
      <c r="F9" s="243">
        <v>268</v>
      </c>
      <c r="G9" s="113">
        <f>D9+E9-F9</f>
        <v>50859</v>
      </c>
      <c r="H9" s="103"/>
      <c r="I9" s="103"/>
      <c r="J9" s="113">
        <f>G9+H9-I9</f>
        <v>50859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50859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304059</v>
      </c>
      <c r="E10" s="243">
        <v>1196</v>
      </c>
      <c r="F10" s="243">
        <v>194</v>
      </c>
      <c r="G10" s="113">
        <f aca="true" t="shared" si="2" ref="G10:G39">D10+E10-F10</f>
        <v>305061</v>
      </c>
      <c r="H10" s="103"/>
      <c r="I10" s="103"/>
      <c r="J10" s="113">
        <f aca="true" t="shared" si="3" ref="J10:J39">G10+H10-I10</f>
        <v>305061</v>
      </c>
      <c r="K10" s="103">
        <v>24596</v>
      </c>
      <c r="L10" s="103">
        <v>6624</v>
      </c>
      <c r="M10" s="103">
        <v>102</v>
      </c>
      <c r="N10" s="113">
        <f aca="true" t="shared" si="4" ref="N10:N39">K10+L10-M10</f>
        <v>31118</v>
      </c>
      <c r="O10" s="103"/>
      <c r="P10" s="103"/>
      <c r="Q10" s="113">
        <f t="shared" si="0"/>
        <v>31118</v>
      </c>
      <c r="R10" s="113">
        <f t="shared" si="1"/>
        <v>273943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27335</v>
      </c>
      <c r="E11" s="243">
        <v>725</v>
      </c>
      <c r="F11" s="243">
        <v>353</v>
      </c>
      <c r="G11" s="113">
        <f t="shared" si="2"/>
        <v>27707</v>
      </c>
      <c r="H11" s="103"/>
      <c r="I11" s="103"/>
      <c r="J11" s="113">
        <f t="shared" si="3"/>
        <v>27707</v>
      </c>
      <c r="K11" s="103">
        <v>18591</v>
      </c>
      <c r="L11" s="103">
        <v>3006</v>
      </c>
      <c r="M11" s="103">
        <v>345</v>
      </c>
      <c r="N11" s="113">
        <f t="shared" si="4"/>
        <v>21252</v>
      </c>
      <c r="O11" s="103"/>
      <c r="P11" s="103"/>
      <c r="Q11" s="113">
        <f t="shared" si="0"/>
        <v>21252</v>
      </c>
      <c r="R11" s="113">
        <f t="shared" si="1"/>
        <v>6455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51937</v>
      </c>
      <c r="E12" s="243">
        <v>1021</v>
      </c>
      <c r="F12" s="243">
        <v>5</v>
      </c>
      <c r="G12" s="113">
        <f t="shared" si="2"/>
        <v>52953</v>
      </c>
      <c r="H12" s="103"/>
      <c r="I12" s="103"/>
      <c r="J12" s="113">
        <f t="shared" si="3"/>
        <v>52953</v>
      </c>
      <c r="K12" s="103">
        <v>20629</v>
      </c>
      <c r="L12" s="103">
        <v>2446</v>
      </c>
      <c r="M12" s="103">
        <v>4</v>
      </c>
      <c r="N12" s="113">
        <f t="shared" si="4"/>
        <v>23071</v>
      </c>
      <c r="O12" s="103"/>
      <c r="P12" s="103"/>
      <c r="Q12" s="113">
        <f t="shared" si="0"/>
        <v>23071</v>
      </c>
      <c r="R12" s="113">
        <f t="shared" si="1"/>
        <v>29882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3273</v>
      </c>
      <c r="E13" s="243">
        <v>6</v>
      </c>
      <c r="F13" s="243">
        <v>87</v>
      </c>
      <c r="G13" s="113">
        <f t="shared" si="2"/>
        <v>3192</v>
      </c>
      <c r="H13" s="103"/>
      <c r="I13" s="103"/>
      <c r="J13" s="113">
        <f t="shared" si="3"/>
        <v>3192</v>
      </c>
      <c r="K13" s="103">
        <v>1961</v>
      </c>
      <c r="L13" s="103">
        <v>290</v>
      </c>
      <c r="M13" s="103">
        <v>73</v>
      </c>
      <c r="N13" s="113">
        <f t="shared" si="4"/>
        <v>2178</v>
      </c>
      <c r="O13" s="103"/>
      <c r="P13" s="103"/>
      <c r="Q13" s="113">
        <f t="shared" si="0"/>
        <v>2178</v>
      </c>
      <c r="R13" s="113">
        <f t="shared" si="1"/>
        <v>1014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28529</v>
      </c>
      <c r="E14" s="243">
        <v>463</v>
      </c>
      <c r="F14" s="243">
        <v>212</v>
      </c>
      <c r="G14" s="113">
        <f t="shared" si="2"/>
        <v>28780</v>
      </c>
      <c r="H14" s="103"/>
      <c r="I14" s="103"/>
      <c r="J14" s="113">
        <f t="shared" si="3"/>
        <v>28780</v>
      </c>
      <c r="K14" s="103">
        <v>19933</v>
      </c>
      <c r="L14" s="103">
        <v>3028</v>
      </c>
      <c r="M14" s="103">
        <v>206</v>
      </c>
      <c r="N14" s="113">
        <f t="shared" si="4"/>
        <v>22755</v>
      </c>
      <c r="O14" s="103"/>
      <c r="P14" s="103"/>
      <c r="Q14" s="113">
        <f t="shared" si="0"/>
        <v>22755</v>
      </c>
      <c r="R14" s="113">
        <f t="shared" si="1"/>
        <v>6025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36">
      <c r="A15" s="562" t="s">
        <v>854</v>
      </c>
      <c r="B15" s="466" t="s">
        <v>855</v>
      </c>
      <c r="C15" s="563" t="s">
        <v>856</v>
      </c>
      <c r="D15" s="564">
        <v>2657</v>
      </c>
      <c r="E15" s="564">
        <v>3615</v>
      </c>
      <c r="F15" s="564">
        <v>3326</v>
      </c>
      <c r="G15" s="113">
        <f t="shared" si="2"/>
        <v>2946</v>
      </c>
      <c r="H15" s="565"/>
      <c r="I15" s="565"/>
      <c r="J15" s="113">
        <f t="shared" si="3"/>
        <v>2946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2946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468916</v>
      </c>
      <c r="E17" s="248">
        <f>SUM(E9:E16)</f>
        <v>7027</v>
      </c>
      <c r="F17" s="248">
        <f>SUM(F9:F16)</f>
        <v>4445</v>
      </c>
      <c r="G17" s="113">
        <f t="shared" si="2"/>
        <v>471498</v>
      </c>
      <c r="H17" s="114">
        <f>SUM(H9:H16)</f>
        <v>0</v>
      </c>
      <c r="I17" s="114">
        <f>SUM(I9:I16)</f>
        <v>0</v>
      </c>
      <c r="J17" s="113">
        <f t="shared" si="3"/>
        <v>471498</v>
      </c>
      <c r="K17" s="114">
        <f>SUM(K9:K16)</f>
        <v>85710</v>
      </c>
      <c r="L17" s="114">
        <f>SUM(L9:L16)</f>
        <v>15394</v>
      </c>
      <c r="M17" s="114">
        <f>SUM(M9:M16)</f>
        <v>730</v>
      </c>
      <c r="N17" s="113">
        <f t="shared" si="4"/>
        <v>100374</v>
      </c>
      <c r="O17" s="114">
        <f>SUM(O9:O16)</f>
        <v>0</v>
      </c>
      <c r="P17" s="114">
        <f>SUM(P9:P16)</f>
        <v>0</v>
      </c>
      <c r="Q17" s="113">
        <f t="shared" si="5"/>
        <v>100374</v>
      </c>
      <c r="R17" s="113">
        <f t="shared" si="6"/>
        <v>371124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13373</v>
      </c>
      <c r="E18" s="241">
        <v>109</v>
      </c>
      <c r="F18" s="241">
        <v>95</v>
      </c>
      <c r="G18" s="113">
        <f t="shared" si="2"/>
        <v>13387</v>
      </c>
      <c r="H18" s="101">
        <v>168</v>
      </c>
      <c r="I18" s="101">
        <v>188</v>
      </c>
      <c r="J18" s="113">
        <f t="shared" si="3"/>
        <v>13367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13367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141</v>
      </c>
      <c r="L21" s="103"/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1878</v>
      </c>
      <c r="E22" s="243">
        <v>2</v>
      </c>
      <c r="F22" s="243"/>
      <c r="G22" s="113">
        <f t="shared" si="2"/>
        <v>1880</v>
      </c>
      <c r="H22" s="103"/>
      <c r="I22" s="103"/>
      <c r="J22" s="113">
        <f t="shared" si="3"/>
        <v>1880</v>
      </c>
      <c r="K22" s="103">
        <v>1170</v>
      </c>
      <c r="L22" s="103">
        <v>257</v>
      </c>
      <c r="M22" s="103"/>
      <c r="N22" s="113">
        <f t="shared" si="4"/>
        <v>1427</v>
      </c>
      <c r="O22" s="103"/>
      <c r="P22" s="103"/>
      <c r="Q22" s="113">
        <f t="shared" si="5"/>
        <v>1427</v>
      </c>
      <c r="R22" s="113">
        <f t="shared" si="6"/>
        <v>453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1770</v>
      </c>
      <c r="E24" s="243">
        <v>123</v>
      </c>
      <c r="F24" s="243"/>
      <c r="G24" s="113">
        <f t="shared" si="2"/>
        <v>1893</v>
      </c>
      <c r="H24" s="103"/>
      <c r="I24" s="103"/>
      <c r="J24" s="113">
        <f t="shared" si="3"/>
        <v>1893</v>
      </c>
      <c r="K24" s="103">
        <v>523</v>
      </c>
      <c r="L24" s="103">
        <v>207</v>
      </c>
      <c r="M24" s="103"/>
      <c r="N24" s="113">
        <f t="shared" si="4"/>
        <v>730</v>
      </c>
      <c r="O24" s="103"/>
      <c r="P24" s="103"/>
      <c r="Q24" s="113">
        <f t="shared" si="5"/>
        <v>730</v>
      </c>
      <c r="R24" s="113">
        <f t="shared" si="6"/>
        <v>1163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3789</v>
      </c>
      <c r="E25" s="244">
        <f aca="true" t="shared" si="7" ref="E25:P25">SUM(E21:E24)</f>
        <v>125</v>
      </c>
      <c r="F25" s="244">
        <f t="shared" si="7"/>
        <v>0</v>
      </c>
      <c r="G25" s="105">
        <f t="shared" si="2"/>
        <v>3914</v>
      </c>
      <c r="H25" s="104">
        <f t="shared" si="7"/>
        <v>0</v>
      </c>
      <c r="I25" s="104">
        <f t="shared" si="7"/>
        <v>0</v>
      </c>
      <c r="J25" s="105">
        <f t="shared" si="3"/>
        <v>3914</v>
      </c>
      <c r="K25" s="104">
        <f t="shared" si="7"/>
        <v>1834</v>
      </c>
      <c r="L25" s="104">
        <f t="shared" si="7"/>
        <v>464</v>
      </c>
      <c r="M25" s="104">
        <f t="shared" si="7"/>
        <v>0</v>
      </c>
      <c r="N25" s="105">
        <f t="shared" si="4"/>
        <v>2298</v>
      </c>
      <c r="O25" s="104">
        <f t="shared" si="7"/>
        <v>0</v>
      </c>
      <c r="P25" s="104">
        <f t="shared" si="7"/>
        <v>0</v>
      </c>
      <c r="Q25" s="105">
        <f t="shared" si="5"/>
        <v>2298</v>
      </c>
      <c r="R25" s="105">
        <f t="shared" si="6"/>
        <v>1616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49617</v>
      </c>
      <c r="E27" s="246">
        <f aca="true" t="shared" si="8" ref="E27:P27">SUM(E28:E31)</f>
        <v>2</v>
      </c>
      <c r="F27" s="246">
        <f t="shared" si="8"/>
        <v>0</v>
      </c>
      <c r="G27" s="110">
        <f t="shared" si="2"/>
        <v>49619</v>
      </c>
      <c r="H27" s="109">
        <f t="shared" si="8"/>
        <v>0</v>
      </c>
      <c r="I27" s="109">
        <f t="shared" si="8"/>
        <v>0</v>
      </c>
      <c r="J27" s="110">
        <f t="shared" si="3"/>
        <v>49619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49619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47496</v>
      </c>
      <c r="E28" s="243">
        <v>2</v>
      </c>
      <c r="F28" s="243"/>
      <c r="G28" s="113">
        <f t="shared" si="2"/>
        <v>47498</v>
      </c>
      <c r="H28" s="103"/>
      <c r="I28" s="103"/>
      <c r="J28" s="113">
        <f t="shared" si="3"/>
        <v>47498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47498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1088</v>
      </c>
      <c r="E30" s="243"/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1033</v>
      </c>
      <c r="E31" s="243"/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49617</v>
      </c>
      <c r="E38" s="248">
        <f aca="true" t="shared" si="12" ref="E38:P38">E27+E32+E37</f>
        <v>2</v>
      </c>
      <c r="F38" s="248">
        <f t="shared" si="12"/>
        <v>0</v>
      </c>
      <c r="G38" s="113">
        <f t="shared" si="2"/>
        <v>49619</v>
      </c>
      <c r="H38" s="114">
        <f t="shared" si="12"/>
        <v>0</v>
      </c>
      <c r="I38" s="114">
        <f t="shared" si="12"/>
        <v>0</v>
      </c>
      <c r="J38" s="113">
        <f t="shared" si="3"/>
        <v>49619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49619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535695</v>
      </c>
      <c r="E40" s="547">
        <f>E17+E18+E19+E25+E38+E39</f>
        <v>7263</v>
      </c>
      <c r="F40" s="547">
        <f aca="true" t="shared" si="13" ref="F40:R40">F17+F18+F19+F25+F38+F39</f>
        <v>4540</v>
      </c>
      <c r="G40" s="547">
        <f t="shared" si="13"/>
        <v>538418</v>
      </c>
      <c r="H40" s="547">
        <f t="shared" si="13"/>
        <v>168</v>
      </c>
      <c r="I40" s="547">
        <f t="shared" si="13"/>
        <v>188</v>
      </c>
      <c r="J40" s="547">
        <f t="shared" si="13"/>
        <v>538398</v>
      </c>
      <c r="K40" s="547">
        <f t="shared" si="13"/>
        <v>87544</v>
      </c>
      <c r="L40" s="547">
        <f t="shared" si="13"/>
        <v>15858</v>
      </c>
      <c r="M40" s="547">
        <f t="shared" si="13"/>
        <v>730</v>
      </c>
      <c r="N40" s="547">
        <f t="shared" si="13"/>
        <v>102672</v>
      </c>
      <c r="O40" s="547">
        <f t="shared" si="13"/>
        <v>0</v>
      </c>
      <c r="P40" s="547">
        <f t="shared" si="13"/>
        <v>0</v>
      </c>
      <c r="Q40" s="547">
        <f t="shared" si="13"/>
        <v>102672</v>
      </c>
      <c r="R40" s="547">
        <f t="shared" si="13"/>
        <v>435726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894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7"/>
      <c r="L44" s="637"/>
      <c r="M44" s="637"/>
      <c r="N44" s="637"/>
      <c r="O44" s="630" t="s">
        <v>779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860</v>
      </c>
      <c r="J45" s="437"/>
      <c r="K45" s="437"/>
      <c r="L45" s="437"/>
      <c r="M45" s="437"/>
      <c r="N45" s="437"/>
      <c r="O45" s="437" t="s">
        <v>864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96" sqref="D96"/>
    </sheetView>
  </sheetViews>
  <sheetFormatPr defaultColWidth="9.00390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41" t="s">
        <v>607</v>
      </c>
      <c r="B1" s="641"/>
      <c r="C1" s="641"/>
      <c r="D1" s="641"/>
      <c r="E1" s="641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2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2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3" t="str">
        <f>"Отчетен период:"&amp;"           "&amp;'справка №1-БАЛАНС'!E5</f>
        <v>Отчетен период:           40543</v>
      </c>
      <c r="B4" s="643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2570</v>
      </c>
      <c r="D11" s="165">
        <f>SUM(D12:D14)</f>
        <v>0</v>
      </c>
      <c r="E11" s="166">
        <f>SUM(E12:E14)</f>
        <v>2570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2570</v>
      </c>
      <c r="D12" s="153"/>
      <c r="E12" s="166">
        <f aca="true" t="shared" si="0" ref="E12:E42">C12-D12</f>
        <v>2570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1924</v>
      </c>
      <c r="D16" s="165">
        <f>+D17+D18</f>
        <v>0</v>
      </c>
      <c r="E16" s="166">
        <f t="shared" si="0"/>
        <v>1924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1924</v>
      </c>
      <c r="D18" s="153"/>
      <c r="E18" s="166">
        <f t="shared" si="0"/>
        <v>1924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4494</v>
      </c>
      <c r="D19" s="149">
        <f>D11+D15+D16</f>
        <v>0</v>
      </c>
      <c r="E19" s="164">
        <f>E11+E15+E16</f>
        <v>4494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5604</v>
      </c>
      <c r="D24" s="165">
        <f>SUM(D25:D27)</f>
        <v>5604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3394</v>
      </c>
      <c r="D25" s="153">
        <v>3394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1815</v>
      </c>
      <c r="D26" s="153">
        <v>1815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395</v>
      </c>
      <c r="D27" s="153">
        <v>395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3104</v>
      </c>
      <c r="D28" s="153">
        <v>3104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931</v>
      </c>
      <c r="D29" s="153">
        <v>931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619</v>
      </c>
      <c r="D31" s="153">
        <v>619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362</v>
      </c>
      <c r="D33" s="150">
        <f>SUM(D34:D37)</f>
        <v>362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212</v>
      </c>
      <c r="D34" s="153">
        <v>212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150</v>
      </c>
      <c r="D35" s="153">
        <v>150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362</v>
      </c>
      <c r="D38" s="150">
        <f>SUM(D39:D42)</f>
        <v>362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362</v>
      </c>
      <c r="D42" s="153">
        <v>362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10982</v>
      </c>
      <c r="D43" s="149">
        <f>D24+D28+D29+D31+D30+D32+D33+D38</f>
        <v>10982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15476</v>
      </c>
      <c r="D44" s="148">
        <f>D43+D21+D19+D9</f>
        <v>10982</v>
      </c>
      <c r="E44" s="164">
        <f>E43+E21+E19+E9</f>
        <v>4494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5775</v>
      </c>
      <c r="D52" s="148">
        <f>SUM(D53:D55)</f>
        <v>0</v>
      </c>
      <c r="E52" s="165">
        <f>C52-D52</f>
        <v>5775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5775</v>
      </c>
      <c r="D53" s="153"/>
      <c r="E53" s="165">
        <f>C53-D53</f>
        <v>5775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79611</v>
      </c>
      <c r="D56" s="148">
        <f>D57+D59</f>
        <v>0</v>
      </c>
      <c r="E56" s="165">
        <f t="shared" si="1"/>
        <v>79611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79611</v>
      </c>
      <c r="D57" s="153"/>
      <c r="E57" s="165">
        <f t="shared" si="1"/>
        <v>79611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295</v>
      </c>
      <c r="D64" s="153"/>
      <c r="E64" s="165">
        <f t="shared" si="1"/>
        <v>295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85681</v>
      </c>
      <c r="D66" s="148">
        <f>D52+D56+D61+D62+D63+D64</f>
        <v>0</v>
      </c>
      <c r="E66" s="165">
        <f t="shared" si="1"/>
        <v>85681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14227</v>
      </c>
      <c r="D68" s="153"/>
      <c r="E68" s="165">
        <f t="shared" si="1"/>
        <v>14227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2877</v>
      </c>
      <c r="D71" s="150">
        <f>SUM(D72:D74)</f>
        <v>2877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1397</v>
      </c>
      <c r="D72" s="153">
        <v>1397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1480</v>
      </c>
      <c r="D73" s="153">
        <v>1480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19483</v>
      </c>
      <c r="D75" s="148">
        <f>D76+D78</f>
        <v>19483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19483</v>
      </c>
      <c r="D76" s="153">
        <v>19483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1683</v>
      </c>
      <c r="D80" s="148">
        <f>SUM(D81:D84)</f>
        <v>1683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1683</v>
      </c>
      <c r="D84" s="153">
        <v>1683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5875</v>
      </c>
      <c r="D85" s="149">
        <f>SUM(D86:D90)+D94</f>
        <v>5875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3049</v>
      </c>
      <c r="D87" s="153">
        <v>3049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2332</v>
      </c>
      <c r="D88" s="153">
        <v>2332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309</v>
      </c>
      <c r="D89" s="153">
        <v>309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111</v>
      </c>
      <c r="D90" s="148">
        <f>SUM(D91:D93)</f>
        <v>111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111</v>
      </c>
      <c r="D93" s="153">
        <v>111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74</v>
      </c>
      <c r="D94" s="153">
        <v>74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452</v>
      </c>
      <c r="D95" s="153">
        <v>452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30370</v>
      </c>
      <c r="D96" s="149">
        <f>D85+D80+D75+D71+D95</f>
        <v>30370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130278</v>
      </c>
      <c r="D97" s="149">
        <f>D96+D68+D66</f>
        <v>30370</v>
      </c>
      <c r="E97" s="149">
        <f>E96+E68+E66</f>
        <v>99908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0" t="s">
        <v>778</v>
      </c>
      <c r="B107" s="640"/>
      <c r="C107" s="640"/>
      <c r="D107" s="640"/>
      <c r="E107" s="640"/>
      <c r="F107" s="64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9" t="s">
        <v>895</v>
      </c>
      <c r="B109" s="639"/>
      <c r="C109" s="639" t="s">
        <v>379</v>
      </c>
      <c r="D109" s="639"/>
      <c r="E109" s="639"/>
      <c r="F109" s="63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860</v>
      </c>
      <c r="E110" s="477"/>
      <c r="F110" s="479"/>
    </row>
    <row r="111" spans="1:6" ht="12">
      <c r="A111" s="477"/>
      <c r="B111" s="478"/>
      <c r="C111" s="638" t="s">
        <v>779</v>
      </c>
      <c r="D111" s="638"/>
      <c r="E111" s="638"/>
      <c r="F111" s="638"/>
    </row>
    <row r="112" spans="1:6" ht="12">
      <c r="A112" s="434"/>
      <c r="B112" s="480"/>
      <c r="C112" s="434"/>
      <c r="D112" s="434" t="s">
        <v>859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9" sqref="A19"/>
    </sheetView>
  </sheetViews>
  <sheetFormatPr defaultColWidth="9.00390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1" t="str">
        <f>'справка №1-БАЛАНС'!E3</f>
        <v>" АЛБЕНА"  АД</v>
      </c>
      <c r="D4" s="628"/>
      <c r="E4" s="628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1">
        <f>'справка №1-БАЛАНС'!E5</f>
        <v>40543</v>
      </c>
      <c r="D5" s="646"/>
      <c r="E5" s="646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16507690</v>
      </c>
      <c r="D12" s="141"/>
      <c r="E12" s="141"/>
      <c r="F12" s="141">
        <v>49619</v>
      </c>
      <c r="G12" s="141"/>
      <c r="H12" s="141"/>
      <c r="I12" s="541">
        <f>F12+G12-H12</f>
        <v>49619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16507690</v>
      </c>
      <c r="D17" s="127">
        <f t="shared" si="1"/>
        <v>0</v>
      </c>
      <c r="E17" s="127">
        <f t="shared" si="1"/>
        <v>0</v>
      </c>
      <c r="F17" s="127">
        <f t="shared" si="1"/>
        <v>49619</v>
      </c>
      <c r="G17" s="127">
        <f t="shared" si="1"/>
        <v>0</v>
      </c>
      <c r="H17" s="127">
        <f t="shared" si="1"/>
        <v>0</v>
      </c>
      <c r="I17" s="541">
        <f t="shared" si="0"/>
        <v>49619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896</v>
      </c>
      <c r="B30" s="645"/>
      <c r="C30" s="645"/>
      <c r="D30" s="567" t="s">
        <v>379</v>
      </c>
      <c r="E30" s="644"/>
      <c r="F30" s="644"/>
      <c r="G30" s="644"/>
      <c r="H30" s="519" t="s">
        <v>779</v>
      </c>
      <c r="I30" s="644"/>
      <c r="J30" s="644"/>
    </row>
    <row r="31" spans="1:9" s="115" customFormat="1" ht="12">
      <c r="A31" s="437"/>
      <c r="B31" s="520"/>
      <c r="C31" s="437"/>
      <c r="D31" s="510"/>
      <c r="E31" s="510" t="s">
        <v>860</v>
      </c>
      <c r="F31" s="510"/>
      <c r="G31" s="510"/>
      <c r="H31" s="510"/>
      <c r="I31" s="510" t="s">
        <v>859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9"/>
  <sheetViews>
    <sheetView workbookViewId="0" topLeftCell="A1">
      <selection activeCell="A147" sqref="A147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1" t="str">
        <f>'справка №1-БАЛАНС'!E3</f>
        <v>" АЛБЕНА"  АД</v>
      </c>
      <c r="C5" s="627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1">
        <f>'справка №1-БАЛАНС'!E5</f>
        <v>40543</v>
      </c>
      <c r="C6" s="646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6"/>
      <c r="C7" s="648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865</v>
      </c>
      <c r="B12" s="67"/>
      <c r="C12" s="549">
        <f>1305170/1000</f>
        <v>1305.17</v>
      </c>
      <c r="D12" s="598">
        <v>67</v>
      </c>
      <c r="E12" s="549"/>
      <c r="F12" s="551">
        <f aca="true" t="shared" si="0" ref="F12:F23">C12-E12</f>
        <v>1305.17</v>
      </c>
    </row>
    <row r="13" spans="1:6" ht="12.75">
      <c r="A13" s="66" t="s">
        <v>866</v>
      </c>
      <c r="B13" s="67"/>
      <c r="C13" s="549">
        <v>2961</v>
      </c>
      <c r="D13" s="598">
        <v>94</v>
      </c>
      <c r="E13" s="549"/>
      <c r="F13" s="551">
        <f t="shared" si="0"/>
        <v>2961</v>
      </c>
    </row>
    <row r="14" spans="1:6" ht="12.75">
      <c r="A14" s="66" t="s">
        <v>867</v>
      </c>
      <c r="B14" s="67"/>
      <c r="C14" s="549">
        <f>900000/1000</f>
        <v>900</v>
      </c>
      <c r="D14" s="598">
        <v>100</v>
      </c>
      <c r="E14" s="549"/>
      <c r="F14" s="551">
        <f t="shared" si="0"/>
        <v>900</v>
      </c>
    </row>
    <row r="15" spans="1:6" ht="12.75">
      <c r="A15" s="66" t="s">
        <v>871</v>
      </c>
      <c r="B15" s="67"/>
      <c r="C15" s="549">
        <v>4300</v>
      </c>
      <c r="D15" s="598">
        <v>99.99</v>
      </c>
      <c r="E15" s="549">
        <v>4300</v>
      </c>
      <c r="F15" s="551">
        <f t="shared" si="0"/>
        <v>0</v>
      </c>
    </row>
    <row r="16" spans="1:6" ht="12.75">
      <c r="A16" s="66" t="s">
        <v>873</v>
      </c>
      <c r="B16" s="67"/>
      <c r="C16" s="549">
        <f>499078/1000</f>
        <v>499.078</v>
      </c>
      <c r="D16" s="598">
        <v>100</v>
      </c>
      <c r="E16" s="549"/>
      <c r="F16" s="551">
        <f t="shared" si="0"/>
        <v>499.078</v>
      </c>
    </row>
    <row r="17" spans="1:6" ht="12.75">
      <c r="A17" s="66" t="s">
        <v>874</v>
      </c>
      <c r="B17" s="67"/>
      <c r="C17" s="549">
        <v>200</v>
      </c>
      <c r="D17" s="598">
        <v>100</v>
      </c>
      <c r="E17" s="549"/>
      <c r="F17" s="551">
        <f t="shared" si="0"/>
        <v>200</v>
      </c>
    </row>
    <row r="18" spans="1:6" ht="12.75">
      <c r="A18" s="66" t="s">
        <v>875</v>
      </c>
      <c r="B18" s="67"/>
      <c r="C18" s="549">
        <f>5000/1000</f>
        <v>5</v>
      </c>
      <c r="D18" s="598">
        <v>100</v>
      </c>
      <c r="E18" s="549"/>
      <c r="F18" s="551">
        <f t="shared" si="0"/>
        <v>5</v>
      </c>
    </row>
    <row r="19" spans="1:6" ht="12.75">
      <c r="A19" s="66" t="s">
        <v>876</v>
      </c>
      <c r="B19" s="67"/>
      <c r="C19" s="549">
        <v>6196</v>
      </c>
      <c r="D19" s="598">
        <v>60</v>
      </c>
      <c r="E19" s="549"/>
      <c r="F19" s="551">
        <f t="shared" si="0"/>
        <v>6196</v>
      </c>
    </row>
    <row r="20" spans="1:6" ht="12.75">
      <c r="A20" s="66" t="s">
        <v>877</v>
      </c>
      <c r="B20" s="67"/>
      <c r="C20" s="549">
        <v>4720</v>
      </c>
      <c r="D20" s="598">
        <v>100</v>
      </c>
      <c r="E20" s="549"/>
      <c r="F20" s="551">
        <f t="shared" si="0"/>
        <v>4720</v>
      </c>
    </row>
    <row r="21" spans="1:6" ht="12.75">
      <c r="A21" s="66" t="s">
        <v>889</v>
      </c>
      <c r="B21" s="70"/>
      <c r="C21" s="549">
        <v>22627</v>
      </c>
      <c r="D21" s="598">
        <v>99.99</v>
      </c>
      <c r="E21" s="549">
        <v>22627</v>
      </c>
      <c r="F21" s="600">
        <f>(C21-E21)</f>
        <v>0</v>
      </c>
    </row>
    <row r="22" spans="1:6" ht="12" customHeight="1">
      <c r="A22" s="66"/>
      <c r="B22" s="70"/>
      <c r="C22" s="549"/>
      <c r="D22" s="598"/>
      <c r="E22" s="601"/>
      <c r="F22" s="600">
        <f>(C22-E22)</f>
        <v>0</v>
      </c>
    </row>
    <row r="23" spans="1:6" ht="12.75">
      <c r="A23" s="66"/>
      <c r="B23" s="67"/>
      <c r="C23" s="549"/>
      <c r="D23" s="549"/>
      <c r="E23" s="549"/>
      <c r="F23" s="551">
        <f t="shared" si="0"/>
        <v>0</v>
      </c>
    </row>
    <row r="24" spans="1:16" ht="11.25" customHeight="1">
      <c r="A24" s="68" t="s">
        <v>562</v>
      </c>
      <c r="B24" s="69" t="s">
        <v>828</v>
      </c>
      <c r="C24" s="536">
        <f>SUM(C11:C23)</f>
        <v>43713.248</v>
      </c>
      <c r="D24" s="536"/>
      <c r="E24" s="536">
        <f>SUM(E11:E23)</f>
        <v>26927</v>
      </c>
      <c r="F24" s="550">
        <f>SUM(F11:F23)</f>
        <v>16786.248</v>
      </c>
      <c r="G24" s="526"/>
      <c r="H24" s="526"/>
      <c r="I24" s="526"/>
      <c r="J24" s="526"/>
      <c r="K24" s="526"/>
      <c r="L24" s="526"/>
      <c r="M24" s="526"/>
      <c r="N24" s="526"/>
      <c r="O24" s="526"/>
      <c r="P24" s="526"/>
    </row>
    <row r="25" spans="1:6" ht="16.5" customHeight="1">
      <c r="A25" s="66" t="s">
        <v>829</v>
      </c>
      <c r="B25" s="70"/>
      <c r="C25" s="536"/>
      <c r="D25" s="536"/>
      <c r="E25" s="536"/>
      <c r="F25" s="550"/>
    </row>
    <row r="26" spans="1:6" ht="12.75">
      <c r="A26" s="66"/>
      <c r="B26" s="70"/>
      <c r="C26" s="549"/>
      <c r="D26" s="598"/>
      <c r="E26" s="601"/>
      <c r="F26" s="600">
        <f>C26-E26</f>
        <v>0</v>
      </c>
    </row>
    <row r="27" spans="1:6" ht="12.75">
      <c r="A27" s="66"/>
      <c r="B27" s="70"/>
      <c r="C27" s="549"/>
      <c r="D27" s="549"/>
      <c r="E27" s="549"/>
      <c r="F27" s="551">
        <f aca="true" t="shared" si="1" ref="F27:F38">C27-E27</f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.75">
      <c r="A36" s="66"/>
      <c r="B36" s="67"/>
      <c r="C36" s="549"/>
      <c r="D36" s="549"/>
      <c r="E36" s="549"/>
      <c r="F36" s="551">
        <f t="shared" si="1"/>
        <v>0</v>
      </c>
    </row>
    <row r="37" spans="1:6" ht="12" customHeight="1">
      <c r="A37" s="66"/>
      <c r="B37" s="67"/>
      <c r="C37" s="549"/>
      <c r="D37" s="549"/>
      <c r="E37" s="549"/>
      <c r="F37" s="551">
        <f t="shared" si="1"/>
        <v>0</v>
      </c>
    </row>
    <row r="38" spans="1:6" ht="12.75">
      <c r="A38" s="66"/>
      <c r="B38" s="67"/>
      <c r="C38" s="549"/>
      <c r="D38" s="549"/>
      <c r="E38" s="549"/>
      <c r="F38" s="551">
        <f t="shared" si="1"/>
        <v>0</v>
      </c>
    </row>
    <row r="39" spans="1:16" ht="15" customHeight="1">
      <c r="A39" s="68" t="s">
        <v>579</v>
      </c>
      <c r="B39" s="69" t="s">
        <v>830</v>
      </c>
      <c r="C39" s="536"/>
      <c r="D39" s="536"/>
      <c r="E39" s="536"/>
      <c r="F39" s="550"/>
      <c r="G39" s="526"/>
      <c r="H39" s="526"/>
      <c r="I39" s="526"/>
      <c r="J39" s="526"/>
      <c r="K39" s="526"/>
      <c r="L39" s="526"/>
      <c r="M39" s="526"/>
      <c r="N39" s="526"/>
      <c r="O39" s="526"/>
      <c r="P39" s="526"/>
    </row>
    <row r="40" spans="1:6" ht="12.75" customHeight="1">
      <c r="A40" s="66" t="s">
        <v>831</v>
      </c>
      <c r="B40" s="70"/>
      <c r="C40" s="536"/>
      <c r="D40" s="536"/>
      <c r="E40" s="536"/>
      <c r="F40" s="550"/>
    </row>
    <row r="41" spans="1:6" ht="12.75">
      <c r="A41" s="66"/>
      <c r="B41" s="70"/>
      <c r="C41" s="549"/>
      <c r="D41" s="549"/>
      <c r="E41" s="549"/>
      <c r="F41" s="551">
        <f>C41-E41</f>
        <v>0</v>
      </c>
    </row>
    <row r="42" spans="1:6" ht="12.75">
      <c r="A42" s="66" t="s">
        <v>887</v>
      </c>
      <c r="B42" s="70"/>
      <c r="C42" s="549">
        <v>1064</v>
      </c>
      <c r="D42" s="598">
        <v>28.95</v>
      </c>
      <c r="E42" s="549"/>
      <c r="F42" s="551">
        <f aca="true" t="shared" si="2" ref="F42:F55">C42-E42</f>
        <v>1064</v>
      </c>
    </row>
    <row r="43" spans="1:6" ht="12.75">
      <c r="A43" s="66" t="s">
        <v>888</v>
      </c>
      <c r="B43" s="70"/>
      <c r="C43" s="549">
        <v>24</v>
      </c>
      <c r="D43" s="598">
        <v>49</v>
      </c>
      <c r="E43" s="549"/>
      <c r="F43" s="551">
        <f t="shared" si="2"/>
        <v>24</v>
      </c>
    </row>
    <row r="44" spans="1:6" ht="12.75">
      <c r="A44" s="66"/>
      <c r="B44" s="70"/>
      <c r="C44" s="549"/>
      <c r="D44" s="549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70"/>
      <c r="C46" s="549"/>
      <c r="D46" s="602"/>
      <c r="E46" s="549"/>
      <c r="F46" s="551">
        <f t="shared" si="2"/>
        <v>0</v>
      </c>
    </row>
    <row r="47" spans="1:6" ht="12.75">
      <c r="A47" s="66">
        <v>7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8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9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10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11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12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13</v>
      </c>
      <c r="B53" s="67"/>
      <c r="C53" s="549"/>
      <c r="D53" s="549"/>
      <c r="E53" s="549"/>
      <c r="F53" s="551">
        <f t="shared" si="2"/>
        <v>0</v>
      </c>
    </row>
    <row r="54" spans="1:6" ht="12" customHeight="1">
      <c r="A54" s="66">
        <v>14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15</v>
      </c>
      <c r="B55" s="67"/>
      <c r="C55" s="549"/>
      <c r="D55" s="549"/>
      <c r="E55" s="549"/>
      <c r="F55" s="551">
        <f t="shared" si="2"/>
        <v>0</v>
      </c>
    </row>
    <row r="56" spans="1:16" ht="12" customHeight="1">
      <c r="A56" s="68" t="s">
        <v>598</v>
      </c>
      <c r="B56" s="69" t="s">
        <v>832</v>
      </c>
      <c r="C56" s="536">
        <f>SUM(C41:C55)</f>
        <v>1088</v>
      </c>
      <c r="D56" s="536"/>
      <c r="E56" s="536">
        <f>SUM(E41:E55)</f>
        <v>0</v>
      </c>
      <c r="F56" s="550">
        <f>SUM(F41:F55)</f>
        <v>1088</v>
      </c>
      <c r="G56" s="526"/>
      <c r="H56" s="526"/>
      <c r="I56" s="526"/>
      <c r="J56" s="526"/>
      <c r="K56" s="526"/>
      <c r="L56" s="526"/>
      <c r="M56" s="526"/>
      <c r="N56" s="526"/>
      <c r="O56" s="526"/>
      <c r="P56" s="526"/>
    </row>
    <row r="57" spans="1:6" ht="18.75" customHeight="1">
      <c r="A57" s="66" t="s">
        <v>833</v>
      </c>
      <c r="B57" s="70"/>
      <c r="C57" s="536"/>
      <c r="D57" s="536"/>
      <c r="E57" s="536"/>
      <c r="F57" s="550"/>
    </row>
    <row r="58" spans="1:6" ht="14.25" customHeight="1">
      <c r="A58" s="66" t="s">
        <v>882</v>
      </c>
      <c r="B58" s="70"/>
      <c r="C58" s="604">
        <v>1017</v>
      </c>
      <c r="D58" s="598">
        <v>7.39</v>
      </c>
      <c r="E58" s="604">
        <v>1017</v>
      </c>
      <c r="F58" s="600">
        <f>(C58-E58)</f>
        <v>0</v>
      </c>
    </row>
    <row r="59" spans="1:6" ht="12.75">
      <c r="A59" s="66" t="s">
        <v>883</v>
      </c>
      <c r="B59" s="67"/>
      <c r="C59" s="549">
        <f>10000/1000</f>
        <v>10</v>
      </c>
      <c r="D59" s="598"/>
      <c r="E59" s="549"/>
      <c r="F59" s="551">
        <f>C59-E59</f>
        <v>10</v>
      </c>
    </row>
    <row r="60" spans="1:6" ht="12.75">
      <c r="A60" s="66" t="s">
        <v>884</v>
      </c>
      <c r="B60" s="70"/>
      <c r="C60" s="549">
        <v>0</v>
      </c>
      <c r="D60" s="549"/>
      <c r="E60" s="549"/>
      <c r="F60" s="551">
        <f aca="true" t="shared" si="3" ref="F60:F72">C60-E60</f>
        <v>0</v>
      </c>
    </row>
    <row r="61" spans="1:6" ht="12.75">
      <c r="A61" s="66" t="s">
        <v>885</v>
      </c>
      <c r="B61" s="70"/>
      <c r="C61" s="549">
        <f>4200/1000</f>
        <v>4.2</v>
      </c>
      <c r="D61" s="549"/>
      <c r="E61" s="549"/>
      <c r="F61" s="551">
        <f t="shared" si="3"/>
        <v>4.2</v>
      </c>
    </row>
    <row r="62" spans="1:6" ht="12.75">
      <c r="A62" s="66" t="s">
        <v>886</v>
      </c>
      <c r="B62" s="70"/>
      <c r="C62" s="549">
        <f>1740/1000</f>
        <v>1.74</v>
      </c>
      <c r="D62" s="549"/>
      <c r="E62" s="549"/>
      <c r="F62" s="551">
        <f t="shared" si="3"/>
        <v>1.74</v>
      </c>
    </row>
    <row r="63" spans="1:6" ht="12.75">
      <c r="A63" s="66">
        <v>6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7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8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9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10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11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12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13</v>
      </c>
      <c r="B70" s="67"/>
      <c r="C70" s="549"/>
      <c r="D70" s="549"/>
      <c r="E70" s="549"/>
      <c r="F70" s="551">
        <f t="shared" si="3"/>
        <v>0</v>
      </c>
    </row>
    <row r="71" spans="1:6" ht="12" customHeight="1">
      <c r="A71" s="66">
        <v>14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15</v>
      </c>
      <c r="B72" s="67"/>
      <c r="C72" s="549"/>
      <c r="D72" s="549"/>
      <c r="E72" s="549"/>
      <c r="F72" s="551">
        <f t="shared" si="3"/>
        <v>0</v>
      </c>
    </row>
    <row r="73" spans="1:16" ht="14.25" customHeight="1">
      <c r="A73" s="68" t="s">
        <v>834</v>
      </c>
      <c r="B73" s="69" t="s">
        <v>835</v>
      </c>
      <c r="C73" s="536">
        <f>SUM(C58:C72)</f>
        <v>1032.94</v>
      </c>
      <c r="D73" s="536"/>
      <c r="E73" s="536">
        <f>SUM(E59:E72)</f>
        <v>0</v>
      </c>
      <c r="F73" s="550">
        <f>SUM(F59:F72)</f>
        <v>15.94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16" ht="20.25" customHeight="1">
      <c r="A74" s="71" t="s">
        <v>836</v>
      </c>
      <c r="B74" s="69" t="s">
        <v>837</v>
      </c>
      <c r="C74" s="536">
        <f>C73+C56+C39+C24</f>
        <v>45834.188</v>
      </c>
      <c r="D74" s="536"/>
      <c r="E74" s="536">
        <f>E73+E56+E39+E24</f>
        <v>26927</v>
      </c>
      <c r="F74" s="550">
        <f>F73+F56+F39+F24</f>
        <v>17890.188</v>
      </c>
      <c r="G74" s="526"/>
      <c r="H74" s="526"/>
      <c r="I74" s="526"/>
      <c r="J74" s="526"/>
      <c r="K74" s="526"/>
      <c r="L74" s="526"/>
      <c r="M74" s="526"/>
      <c r="N74" s="526"/>
      <c r="O74" s="526"/>
      <c r="P74" s="526"/>
    </row>
    <row r="75" spans="1:6" ht="15" customHeight="1">
      <c r="A75" s="64" t="s">
        <v>838</v>
      </c>
      <c r="B75" s="69"/>
      <c r="C75" s="536"/>
      <c r="D75" s="536"/>
      <c r="E75" s="536"/>
      <c r="F75" s="550"/>
    </row>
    <row r="76" spans="1:6" ht="14.25" customHeight="1">
      <c r="A76" s="66" t="s">
        <v>827</v>
      </c>
      <c r="B76" s="70"/>
      <c r="C76" s="536"/>
      <c r="D76" s="536"/>
      <c r="E76" s="536"/>
      <c r="F76" s="550"/>
    </row>
    <row r="77" spans="1:6" ht="12.75">
      <c r="A77" s="66" t="s">
        <v>868</v>
      </c>
      <c r="B77" s="67"/>
      <c r="C77" s="549">
        <f>3771094/1000</f>
        <v>3771.094</v>
      </c>
      <c r="D77" s="598">
        <v>84.38</v>
      </c>
      <c r="E77" s="549"/>
      <c r="F77" s="551">
        <f>C77-E77</f>
        <v>3771.094</v>
      </c>
    </row>
    <row r="78" spans="1:6" ht="12.75">
      <c r="A78" s="66" t="s">
        <v>872</v>
      </c>
      <c r="B78" s="70"/>
      <c r="C78" s="549">
        <v>14</v>
      </c>
      <c r="D78" s="599">
        <v>100</v>
      </c>
      <c r="E78" s="549"/>
      <c r="F78" s="551">
        <f aca="true" t="shared" si="4" ref="F78:F91">C78-E78</f>
        <v>14</v>
      </c>
    </row>
    <row r="79" spans="1:6" ht="12.75">
      <c r="A79" s="66" t="s">
        <v>547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 t="s">
        <v>550</v>
      </c>
      <c r="B80" s="70"/>
      <c r="C80" s="549"/>
      <c r="D80" s="549"/>
      <c r="E80" s="549"/>
      <c r="F80" s="551">
        <f t="shared" si="4"/>
        <v>0</v>
      </c>
    </row>
    <row r="81" spans="1:6" ht="12.75">
      <c r="A81" s="66">
        <v>5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6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7</v>
      </c>
      <c r="B83" s="67"/>
      <c r="C83" s="549"/>
      <c r="D83" s="549"/>
      <c r="E83" s="549"/>
      <c r="F83" s="551">
        <f t="shared" si="4"/>
        <v>0</v>
      </c>
    </row>
    <row r="84" spans="1:6" ht="12.75">
      <c r="A84" s="66">
        <v>8</v>
      </c>
      <c r="B84" s="67"/>
      <c r="C84" s="549"/>
      <c r="D84" s="549"/>
      <c r="E84" s="549"/>
      <c r="F84" s="551">
        <f t="shared" si="4"/>
        <v>0</v>
      </c>
    </row>
    <row r="85" spans="1:6" ht="12" customHeight="1">
      <c r="A85" s="66">
        <v>9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10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11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12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13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14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15</v>
      </c>
      <c r="B91" s="67"/>
      <c r="C91" s="549"/>
      <c r="D91" s="549"/>
      <c r="E91" s="549"/>
      <c r="F91" s="551">
        <f t="shared" si="4"/>
        <v>0</v>
      </c>
    </row>
    <row r="92" spans="1:16" ht="15" customHeight="1">
      <c r="A92" s="68" t="s">
        <v>562</v>
      </c>
      <c r="B92" s="69" t="s">
        <v>839</v>
      </c>
      <c r="C92" s="536">
        <f>SUM(C77:C91)</f>
        <v>3785.094</v>
      </c>
      <c r="D92" s="536"/>
      <c r="E92" s="536">
        <f>SUM(E77:E91)</f>
        <v>0</v>
      </c>
      <c r="F92" s="550">
        <f>SUM(F77:F91)</f>
        <v>3785.094</v>
      </c>
      <c r="G92" s="526"/>
      <c r="H92" s="526"/>
      <c r="I92" s="526"/>
      <c r="J92" s="526"/>
      <c r="K92" s="526"/>
      <c r="L92" s="526"/>
      <c r="M92" s="526"/>
      <c r="N92" s="526"/>
      <c r="O92" s="526"/>
      <c r="P92" s="526"/>
    </row>
    <row r="93" spans="1:6" ht="15.75" customHeight="1">
      <c r="A93" s="66" t="s">
        <v>829</v>
      </c>
      <c r="B93" s="70"/>
      <c r="C93" s="536"/>
      <c r="D93" s="536"/>
      <c r="E93" s="536"/>
      <c r="F93" s="550"/>
    </row>
    <row r="94" spans="1:6" ht="12.75">
      <c r="A94" s="66" t="s">
        <v>541</v>
      </c>
      <c r="B94" s="70"/>
      <c r="C94" s="549"/>
      <c r="D94" s="549"/>
      <c r="E94" s="549"/>
      <c r="F94" s="551">
        <f>C94-E94</f>
        <v>0</v>
      </c>
    </row>
    <row r="95" spans="1:6" ht="12.75">
      <c r="A95" s="66" t="s">
        <v>544</v>
      </c>
      <c r="B95" s="70"/>
      <c r="C95" s="549"/>
      <c r="D95" s="549"/>
      <c r="E95" s="549"/>
      <c r="F95" s="551">
        <f aca="true" t="shared" si="5" ref="F95:F108">C95-E95</f>
        <v>0</v>
      </c>
    </row>
    <row r="96" spans="1:6" ht="12.75">
      <c r="A96" s="66" t="s">
        <v>547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 t="s">
        <v>550</v>
      </c>
      <c r="B97" s="70"/>
      <c r="C97" s="549"/>
      <c r="D97" s="549"/>
      <c r="E97" s="549"/>
      <c r="F97" s="551">
        <f t="shared" si="5"/>
        <v>0</v>
      </c>
    </row>
    <row r="98" spans="1:6" ht="12.75">
      <c r="A98" s="66">
        <v>5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6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7</v>
      </c>
      <c r="B100" s="67"/>
      <c r="C100" s="549"/>
      <c r="D100" s="549"/>
      <c r="E100" s="549"/>
      <c r="F100" s="551">
        <f t="shared" si="5"/>
        <v>0</v>
      </c>
    </row>
    <row r="101" spans="1:6" ht="12.75">
      <c r="A101" s="66">
        <v>8</v>
      </c>
      <c r="B101" s="67"/>
      <c r="C101" s="549"/>
      <c r="D101" s="549"/>
      <c r="E101" s="549"/>
      <c r="F101" s="551">
        <f t="shared" si="5"/>
        <v>0</v>
      </c>
    </row>
    <row r="102" spans="1:6" ht="12" customHeight="1">
      <c r="A102" s="66">
        <v>9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10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11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12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13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14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15</v>
      </c>
      <c r="B108" s="67"/>
      <c r="C108" s="549"/>
      <c r="D108" s="549"/>
      <c r="E108" s="549"/>
      <c r="F108" s="551">
        <f t="shared" si="5"/>
        <v>0</v>
      </c>
    </row>
    <row r="109" spans="1:16" ht="11.25" customHeight="1">
      <c r="A109" s="68" t="s">
        <v>579</v>
      </c>
      <c r="B109" s="69" t="s">
        <v>840</v>
      </c>
      <c r="C109" s="536">
        <f>SUM(C94:C108)</f>
        <v>0</v>
      </c>
      <c r="D109" s="536"/>
      <c r="E109" s="536">
        <f>SUM(E94:E108)</f>
        <v>0</v>
      </c>
      <c r="F109" s="550">
        <f>SUM(F94:F108)</f>
        <v>0</v>
      </c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</row>
    <row r="110" spans="1:6" ht="15" customHeight="1">
      <c r="A110" s="66" t="s">
        <v>831</v>
      </c>
      <c r="B110" s="70"/>
      <c r="C110" s="536"/>
      <c r="D110" s="536"/>
      <c r="E110" s="536"/>
      <c r="F110" s="550"/>
    </row>
    <row r="111" spans="1:6" ht="12.75">
      <c r="A111" s="66" t="s">
        <v>541</v>
      </c>
      <c r="B111" s="70"/>
      <c r="C111" s="549"/>
      <c r="D111" s="549"/>
      <c r="E111" s="549"/>
      <c r="F111" s="551">
        <f>C111-E111</f>
        <v>0</v>
      </c>
    </row>
    <row r="112" spans="1:6" ht="12.75">
      <c r="A112" s="66" t="s">
        <v>544</v>
      </c>
      <c r="B112" s="70"/>
      <c r="C112" s="549"/>
      <c r="D112" s="549"/>
      <c r="E112" s="549"/>
      <c r="F112" s="551">
        <f aca="true" t="shared" si="6" ref="F112:F125">C112-E112</f>
        <v>0</v>
      </c>
    </row>
    <row r="113" spans="1:6" ht="12.75">
      <c r="A113" s="66" t="s">
        <v>547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 t="s">
        <v>550</v>
      </c>
      <c r="B114" s="70"/>
      <c r="C114" s="549"/>
      <c r="D114" s="549"/>
      <c r="E114" s="549"/>
      <c r="F114" s="551">
        <f t="shared" si="6"/>
        <v>0</v>
      </c>
    </row>
    <row r="115" spans="1:6" ht="12.75">
      <c r="A115" s="66">
        <v>5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6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7</v>
      </c>
      <c r="B117" s="67"/>
      <c r="C117" s="549"/>
      <c r="D117" s="549"/>
      <c r="E117" s="549"/>
      <c r="F117" s="551">
        <f t="shared" si="6"/>
        <v>0</v>
      </c>
    </row>
    <row r="118" spans="1:6" ht="12.75">
      <c r="A118" s="66">
        <v>8</v>
      </c>
      <c r="B118" s="67"/>
      <c r="C118" s="549"/>
      <c r="D118" s="549"/>
      <c r="E118" s="549"/>
      <c r="F118" s="551">
        <f t="shared" si="6"/>
        <v>0</v>
      </c>
    </row>
    <row r="119" spans="1:6" ht="12" customHeight="1">
      <c r="A119" s="66">
        <v>9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10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11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12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13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14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15</v>
      </c>
      <c r="B125" s="67"/>
      <c r="C125" s="549"/>
      <c r="D125" s="549"/>
      <c r="E125" s="549"/>
      <c r="F125" s="551">
        <f t="shared" si="6"/>
        <v>0</v>
      </c>
    </row>
    <row r="126" spans="1:16" ht="15.75" customHeight="1">
      <c r="A126" s="68" t="s">
        <v>598</v>
      </c>
      <c r="B126" s="69" t="s">
        <v>841</v>
      </c>
      <c r="C126" s="536">
        <f>SUM(C111:C125)</f>
        <v>0</v>
      </c>
      <c r="D126" s="536"/>
      <c r="E126" s="536">
        <f>SUM(E111:E125)</f>
        <v>0</v>
      </c>
      <c r="F126" s="550">
        <f>SUM(F111:F125)</f>
        <v>0</v>
      </c>
      <c r="G126" s="526"/>
      <c r="H126" s="526"/>
      <c r="I126" s="526"/>
      <c r="J126" s="526"/>
      <c r="K126" s="526"/>
      <c r="L126" s="526"/>
      <c r="M126" s="526"/>
      <c r="N126" s="526"/>
      <c r="O126" s="526"/>
      <c r="P126" s="526"/>
    </row>
    <row r="127" spans="1:6" ht="12.75" customHeight="1">
      <c r="A127" s="66" t="s">
        <v>833</v>
      </c>
      <c r="B127" s="70"/>
      <c r="C127" s="536"/>
      <c r="D127" s="536"/>
      <c r="E127" s="536"/>
      <c r="F127" s="550"/>
    </row>
    <row r="128" spans="1:6" ht="12.75">
      <c r="A128" s="66" t="s">
        <v>541</v>
      </c>
      <c r="B128" s="70"/>
      <c r="C128" s="549"/>
      <c r="D128" s="549"/>
      <c r="E128" s="549"/>
      <c r="F128" s="551">
        <f>C128-E128</f>
        <v>0</v>
      </c>
    </row>
    <row r="129" spans="1:6" ht="12.75">
      <c r="A129" s="66" t="s">
        <v>544</v>
      </c>
      <c r="B129" s="70"/>
      <c r="C129" s="549"/>
      <c r="D129" s="549"/>
      <c r="E129" s="549"/>
      <c r="F129" s="551">
        <f aca="true" t="shared" si="7" ref="F129:F142">C129-E129</f>
        <v>0</v>
      </c>
    </row>
    <row r="130" spans="1:6" ht="12.75">
      <c r="A130" s="66" t="s">
        <v>547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 t="s">
        <v>550</v>
      </c>
      <c r="B131" s="70"/>
      <c r="C131" s="549"/>
      <c r="D131" s="549"/>
      <c r="E131" s="549"/>
      <c r="F131" s="551">
        <f t="shared" si="7"/>
        <v>0</v>
      </c>
    </row>
    <row r="132" spans="1:6" ht="12.75">
      <c r="A132" s="66">
        <v>5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6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7</v>
      </c>
      <c r="B134" s="67"/>
      <c r="C134" s="549"/>
      <c r="D134" s="549"/>
      <c r="E134" s="549"/>
      <c r="F134" s="551">
        <f t="shared" si="7"/>
        <v>0</v>
      </c>
    </row>
    <row r="135" spans="1:6" ht="12.75">
      <c r="A135" s="66">
        <v>8</v>
      </c>
      <c r="B135" s="67"/>
      <c r="C135" s="549"/>
      <c r="D135" s="549"/>
      <c r="E135" s="549"/>
      <c r="F135" s="551">
        <f t="shared" si="7"/>
        <v>0</v>
      </c>
    </row>
    <row r="136" spans="1:6" ht="12" customHeight="1">
      <c r="A136" s="66">
        <v>9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10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11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12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13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14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15</v>
      </c>
      <c r="B142" s="67"/>
      <c r="C142" s="549"/>
      <c r="D142" s="549"/>
      <c r="E142" s="549"/>
      <c r="F142" s="551">
        <f t="shared" si="7"/>
        <v>0</v>
      </c>
    </row>
    <row r="143" spans="1:16" ht="17.25" customHeight="1">
      <c r="A143" s="68" t="s">
        <v>834</v>
      </c>
      <c r="B143" s="69" t="s">
        <v>842</v>
      </c>
      <c r="C143" s="536">
        <f>SUM(C128:C142)</f>
        <v>0</v>
      </c>
      <c r="D143" s="536"/>
      <c r="E143" s="536">
        <f>SUM(E128:E142)</f>
        <v>0</v>
      </c>
      <c r="F143" s="550">
        <f>SUM(F128:F142)</f>
        <v>0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16" ht="19.5" customHeight="1">
      <c r="A144" s="71" t="s">
        <v>843</v>
      </c>
      <c r="B144" s="69" t="s">
        <v>844</v>
      </c>
      <c r="C144" s="536">
        <f>C143+C126+C109+C92</f>
        <v>3785.094</v>
      </c>
      <c r="D144" s="536"/>
      <c r="E144" s="536">
        <f>E143+E126+E109+E92</f>
        <v>0</v>
      </c>
      <c r="F144" s="550">
        <f>F143+F126+F109+F92</f>
        <v>3785.094</v>
      </c>
      <c r="G144" s="526"/>
      <c r="H144" s="526"/>
      <c r="I144" s="526"/>
      <c r="J144" s="526"/>
      <c r="K144" s="526"/>
      <c r="L144" s="526"/>
      <c r="M144" s="526"/>
      <c r="N144" s="526"/>
      <c r="O144" s="526"/>
      <c r="P144" s="526"/>
    </row>
    <row r="145" spans="1:6" ht="19.5" customHeight="1">
      <c r="A145" s="72"/>
      <c r="B145" s="73"/>
      <c r="C145" s="74"/>
      <c r="D145" s="74"/>
      <c r="E145" s="74"/>
      <c r="F145" s="74"/>
    </row>
    <row r="146" spans="1:6" ht="12.75">
      <c r="A146" s="559" t="s">
        <v>896</v>
      </c>
      <c r="B146" s="560"/>
      <c r="C146" s="647" t="s">
        <v>845</v>
      </c>
      <c r="D146" s="647"/>
      <c r="E146" s="647"/>
      <c r="F146" s="647"/>
    </row>
    <row r="147" spans="1:6" ht="12.75">
      <c r="A147" s="75" t="s">
        <v>890</v>
      </c>
      <c r="B147" s="76"/>
      <c r="C147" s="75" t="s">
        <v>869</v>
      </c>
      <c r="D147" s="75"/>
      <c r="E147" s="75"/>
      <c r="F147" s="75"/>
    </row>
    <row r="148" spans="1:6" ht="12.75">
      <c r="A148" s="75"/>
      <c r="B148" s="76"/>
      <c r="C148" s="647" t="s">
        <v>852</v>
      </c>
      <c r="D148" s="647"/>
      <c r="E148" s="647"/>
      <c r="F148" s="647"/>
    </row>
    <row r="149" spans="3:5" ht="12.75">
      <c r="C149" s="75" t="s">
        <v>870</v>
      </c>
      <c r="E149" s="75"/>
    </row>
  </sheetData>
  <sheetProtection/>
  <mergeCells count="5">
    <mergeCell ref="C148:F148"/>
    <mergeCell ref="C146:F146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111:F125 C94:F108 C77:F91 C59:F72 C26:F38 C11:F23 F58 D58 C41:F5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2011-03-31T11:38:05Z</cp:lastPrinted>
  <dcterms:created xsi:type="dcterms:W3CDTF">2000-06-29T12:02:40Z</dcterms:created>
  <dcterms:modified xsi:type="dcterms:W3CDTF">2011-03-31T11:39:39Z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