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<sst xmlns="http://schemas.openxmlformats.org/spreadsheetml/2006/main" count="1068" uniqueCount="881">
  <si>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</si>
  <si>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</si>
  <si>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</si>
  <si>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</si>
  <si>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</si>
  <si>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</si>
  <si>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</si>
  <si>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</si>
  <si>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</si>
  <si>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</si>
  <si>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</si>
  <si>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</si>
  <si>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</si>
  <si>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</si>
  <si>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</si>
  <si>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</si>
  <si>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</si>
  <si>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</si>
  <si>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</si>
  <si>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</si>
  <si>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</si>
  <si>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</si>
  <si>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</si>
  <si>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</si>
  <si>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</si>
  <si>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</si>
  <si>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</si>
  <si>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</si>
  <si>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</si>
  <si>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</si>
  <si>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</si>
  <si>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</si>
  <si>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</si>
  <si>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</si>
  <si>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</si>
  <si>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</si>
  <si>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</si>
  <si>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</si>
  <si>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</si>
  <si>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</si>
  <si>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</si>
  <si>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</si>
  <si>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</si>
  <si>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</si>
  <si>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</si>
  <si>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</si>
  <si>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</si>
  <si>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</si>
  <si>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</si>
  <si>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</si>
  <si>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</si>
  <si>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</si>
  <si>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</si>
  <si>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</si>
  <si>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</si>
  <si>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</si>
  <si>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</si>
  <si>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</si>
  <si>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</si>
  <si>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</si>
  <si>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</si>
  <si>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</si>
  <si>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</si>
  <si>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</si>
  <si>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</si>
  <si>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</si>
  <si>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</si>
  <si>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</si>
  <si>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</si>
  <si>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</si>
  <si>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</si>
  <si>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</si>
  <si>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</si>
  <si>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</si>
  <si>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</si>
  <si>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</si>
  <si>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</si>
  <si>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</si>
  <si>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</si>
  <si>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</si>
  <si>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</si>
  <si>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</si>
  <si>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</si>
  <si>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</si>
  <si>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</si>
  <si>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</si>
  <si>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</si>
  <si>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</si>
  <si>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</si>
  <si>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</si>
  <si>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</si>
  <si>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</si>
  <si>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</si>
  <si>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</si>
  <si>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</si>
  <si>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</si>
  <si>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</si>
  <si>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</si>
  <si>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</si>
  <si>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</si>
  <si>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</si>
  <si>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</si>
  <si>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</si>
  <si>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</si>
  <si>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</si>
  <si>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</si>
  <si>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</si>
  <si>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</si>
  <si>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</si>
  <si>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</si>
  <si>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</si>
  <si>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</si>
  <si>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</si>
  <si>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</si>
  <si>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</si>
  <si>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</si>
  <si>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</si>
  <si>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</si>
  <si>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</si>
  <si>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</si>
  <si>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</si>
  <si>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</si>
  <si>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</si>
  <si>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</si>
  <si>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</si>
  <si>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</si>
  <si>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</si>
  <si>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</si>
  <si>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</si>
  <si>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</si>
  <si>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</si>
  <si>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</si>
  <si>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</si>
  <si>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</si>
  <si>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</si>
  <si>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</si>
  <si>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</si>
  <si>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</si>
  <si>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</si>
  <si>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</si>
  <si>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</si>
  <si>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</si>
  <si>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</si>
  <si>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</si>
  <si>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</si>
  <si>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</si>
  <si>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</si>
  <si>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</si>
  <si>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</si>
  <si>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</si>
  <si>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</si>
  <si>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</si>
  <si>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</si>
  <si>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</si>
  <si>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</si>
  <si>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</si>
  <si>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</si>
  <si>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</si>
  <si>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</si>
  <si>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</si>
  <si>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</si>
  <si>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</si>
  <si>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</si>
  <si>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</si>
  <si>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</si>
  <si>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</si>
  <si>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</si>
  <si>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</si>
  <si>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</si>
  <si>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</si>
  <si>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</si>
  <si>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</si>
  <si>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</si>
  <si>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</si>
  <si>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</si>
  <si>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</si>
  <si>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</si>
  <si>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</si>
  <si>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</si>
  <si>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</si>
  <si>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</si>
  <si>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</si>
  <si>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</si>
  <si>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</si>
  <si>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</si>
  <si>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</si>
  <si>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</si>
  <si>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</si>
  <si>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</si>
  <si>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</si>
  <si>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</si>
  <si>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</si>
  <si>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</si>
  <si>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</si>
  <si>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</si>
  <si>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</si>
  <si>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</si>
  <si>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</si>
  <si>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</si>
  <si>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</si>
  <si>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</si>
  <si>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</si>
  <si>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</si>
  <si>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</si>
  <si>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</si>
  <si>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</si>
  <si>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</si>
  <si>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</si>
  <si>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</si>
  <si>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</si>
  <si>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</si>
  <si>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</si>
  <si>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</si>
  <si>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</si>
  <si>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</si>
  <si>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</si>
  <si>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</si>
  <si>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</si>
  <si>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</si>
  <si>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</si>
  <si>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</si>
  <si>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</si>
  <si>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</si>
  <si>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</si>
  <si>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</si>
  <si>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</si>
  <si>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</si>
  <si>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</si>
  <si>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</si>
  <si>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</si>
  <si>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</si>
  <si>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</si>
  <si>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</si>
  <si>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</si>
  <si>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</si>
  <si>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</si>
  <si>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</si>
  <si>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</si>
  <si>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</si>
  <si>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</si>
  <si>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</si>
  <si>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</si>
  <si>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</si>
  <si>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</si>
  <si>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</si>
  <si>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</si>
  <si>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</si>
  <si>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</si>
  <si>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</si>
  <si>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</si>
  <si>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</si>
  <si>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</si>
  <si>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</si>
  <si>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</si>
  <si>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</si>
  <si>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</si>
  <si>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</si>
  <si>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</si>
  <si>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</si>
  <si>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</si>
  <si>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</si>
  <si>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</si>
  <si>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</si>
  <si>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</si>
  <si>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</si>
  <si>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</si>
  <si>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</si>
  <si>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</si>
  <si>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</si>
  <si>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</si>
  <si>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</si>
  <si>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</si>
  <si>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</si>
  <si>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</si>
  <si>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</si>
  <si>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</si>
  <si>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</si>
  <si>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</si>
  <si>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</si>
  <si>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</si>
  <si>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</si>
  <si>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</si>
  <si>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</si>
  <si>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</si>
  <si>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</si>
  <si>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</si>
  <si>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</si>
  <si>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</si>
  <si>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</si>
  <si>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</si>
  <si>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</si>
  <si>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</si>
  <si>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</si>
  <si>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</si>
  <si>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</si>
  <si>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</si>
  <si>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</si>
  <si>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</si>
  <si>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</si>
  <si>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</si>
  <si>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</si>
  <si>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</si>
  <si>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</si>
  <si>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</si>
  <si>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</si>
  <si>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</si>
  <si>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</si>
  <si>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</si>
  <si>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</si>
  <si>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</si>
  <si>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</si>
  <si>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</si>
  <si>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</si>
  <si>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</si>
  <si>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</si>
  <si>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</si>
  <si>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</si>
  <si>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</si>
  <si>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</si>
  <si>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</si>
  <si>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</si>
  <si>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</si>
  <si>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</si>
  <si>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</si>
  <si>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</si>
  <si>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</si>
  <si>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</si>
  <si>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</si>
  <si>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</si>
  <si>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</si>
  <si>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</si>
  <si>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</si>
  <si>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</si>
  <si>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</si>
  <si>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</si>
  <si>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</si>
  <si>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</si>
  <si>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</si>
  <si>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</si>
  <si>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</si>
  <si>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</si>
  <si>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</si>
  <si>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</si>
  <si>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</si>
  <si>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</si>
  <si>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</si>
  <si>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</si>
  <si>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</si>
  <si>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</si>
  <si>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</si>
  <si>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</si>
  <si>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</si>
  <si>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</si>
  <si>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</si>
  <si>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</si>
  <si>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</si>
  <si>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</si>
  <si>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</si>
  <si>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</si>
  <si>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</si>
  <si>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</si>
  <si>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</si>
  <si>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</si>
  <si>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</si>
  <si>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</si>
  <si>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</si>
  <si>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</si>
  <si>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</si>
  <si>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</si>
  <si>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</si>
  <si>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</si>
  <si>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</si>
  <si>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</si>
  <si>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</si>
  <si>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</si>
  <si>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</si>
  <si>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</si>
  <si>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</si>
  <si>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</si>
  <si>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</si>
  <si>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</si>
  <si>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</si>
  <si>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</si>
  <si>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</si>
  <si>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</si>
  <si>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</si>
  <si>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</si>
  <si>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</si>
  <si>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</si>
  <si>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</si>
  <si>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</si>
  <si>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</si>
  <si>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</si>
  <si>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</si>
  <si>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</si>
  <si>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</si>
  <si>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</si>
  <si>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</si>
  <si>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</si>
  <si>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</si>
  <si>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</si>
  <si>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</si>
  <si>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</si>
  <si>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</si>
  <si>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</si>
  <si>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</si>
  <si>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</si>
  <si>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</si>
  <si>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</si>
  <si>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</si>
  <si>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</si>
  <si>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</si>
  <si>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</si>
  <si>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</si>
  <si>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</si>
  <si>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</si>
  <si>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</si>
  <si>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</si>
  <si>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</si>
  <si>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</si>
  <si>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</si>
  <si>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</si>
  <si>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</si>
  <si>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</si>
  <si>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</si>
  <si>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</si>
  <si>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</si>
  <si>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</si>
  <si>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</si>
  <si>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</si>
  <si>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</si>
  <si>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</si>
  <si>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</si>
  <si>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</si>
  <si>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</si>
  <si>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</si>
  <si>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</si>
  <si>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</si>
  <si>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</si>
  <si>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</si>
  <si>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</si>
  <si>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</si>
  <si>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</si>
  <si>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</si>
  <si>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</si>
  <si>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</si>
  <si>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</si>
  <si>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</si>
  <si>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</si>
  <si>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</si>
  <si>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</si>
  <si>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</si>
  <si>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</si>
  <si>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</si>
  <si>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</si>
  <si>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</si>
  <si>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</si>
  <si>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</si>
  <si>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</si>
  <si>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</si>
  <si>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</si>
  <si>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</si>
  <si>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</si>
  <si>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</si>
  <si>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</si>
  <si>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</si>
  <si>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</si>
  <si>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</si>
  <si>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</si>
  <si>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</si>
  <si>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</si>
  <si>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</si>
  <si>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</si>
  <si>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</si>
  <si>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</si>
  <si>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</si>
  <si>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</si>
  <si>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</si>
  <si>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</si>
  <si>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</si>
  <si>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</si>
  <si>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</si>
  <si>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</si>
  <si>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</si>
  <si>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</si>
  <si>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</si>
  <si>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</si>
  <si>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</si>
  <si>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</si>
  <si>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</si>
  <si>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</si>
  <si>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</si>
  <si>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</si>
  <si>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</si>
  <si>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</si>
  <si>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</si>
  <si>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</si>
  <si>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</si>
  <si>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</si>
  <si>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</si>
  <si>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</si>
  <si>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</si>
  <si>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</si>
  <si>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</si>
  <si>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</si>
  <si>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</si>
  <si>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</si>
  <si>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</si>
  <si>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</si>
  <si>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</si>
  <si>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</si>
  <si>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</si>
  <si>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</si>
  <si>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</si>
  <si>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</si>
  <si>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</si>
  <si>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</si>
  <si>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</si>
  <si>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</si>
  <si>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</si>
  <si>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</si>
  <si>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</si>
  <si>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</si>
  <si>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</si>
  <si>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</si>
  <si>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</si>
  <si>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</si>
  <si>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</si>
  <si>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</si>
  <si>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</si>
  <si>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</si>
  <si>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</si>
  <si>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</si>
  <si>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</si>
  <si>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</si>
  <si>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</si>
  <si>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</si>
  <si>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</si>
  <si>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</si>
  <si>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</si>
  <si>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</si>
  <si>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</si>
  <si>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</si>
  <si>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</si>
  <si>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</si>
  <si>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</si>
  <si>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</si>
  <si>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</si>
  <si>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</si>
  <si>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</si>
  <si>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</si>
  <si>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</si>
  <si>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</si>
  <si>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</si>
  <si>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</si>
  <si>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</si>
  <si>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</si>
  <si>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</si>
  <si>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</si>
  <si>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</si>
  <si>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</si>
  <si>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</si>
  <si>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</si>
  <si>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</si>
  <si>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</si>
  <si>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</si>
  <si>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</si>
  <si>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</si>
  <si>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</si>
  <si>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</si>
  <si>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</si>
  <si>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</si>
  <si>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</si>
  <si>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</si>
  <si>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</si>
  <si>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</si>
  <si>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</si>
  <si>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</si>
  <si>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</si>
  <si>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</si>
  <si>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</si>
  <si>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</si>
  <si>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</si>
  <si>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</si>
  <si>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</si>
  <si>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</si>
  <si>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</si>
  <si>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</si>
  <si>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</si>
  <si>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</si>
  <si>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</si>
  <si>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</si>
  <si>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</si>
  <si>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</si>
  <si>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</si>
  <si>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</si>
  <si>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</si>
  <si>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</si>
  <si>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</si>
  <si>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</si>
  <si>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</si>
  <si>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</si>
  <si>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</si>
  <si>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</si>
  <si>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</si>
  <si>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</si>
  <si>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</si>
  <si>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</si>
  <si>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</si>
  <si>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</si>
  <si>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</si>
  <si>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</si>
  <si>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</si>
  <si>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</si>
  <si>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</si>
  <si>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</si>
  <si>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</si>
  <si>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</si>
  <si>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</si>
  <si>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</si>
  <si>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</si>
  <si>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</si>
  <si>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</si>
  <si>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</si>
  <si>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</si>
  <si>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</si>
  <si>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</si>
  <si>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</si>
  <si>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</si>
  <si>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</si>
  <si>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</si>
  <si>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</si>
  <si>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</si>
  <si>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</si>
  <si>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</si>
  <si>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</si>
  <si>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</si>
  <si>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</si>
  <si>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</si>
  <si>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</si>
  <si>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</si>
  <si>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</si>
  <si>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</si>
  <si>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</si>
  <si>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</si>
  <si>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</si>
  <si>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</si>
  <si>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</si>
  <si>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</si>
  <si>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</si>
  <si>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</si>
  <si>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</si>
  <si>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</si>
  <si>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</si>
  <si>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</si>
  <si>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</si>
  <si>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</si>
  <si>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</si>
  <si>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</si>
  <si>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</si>
  <si>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</si>
  <si>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</si>
  <si>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</si>
  <si>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</si>
  <si>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</si>
  <si>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</si>
  <si>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</si>
  <si>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</si>
  <si>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</si>
  <si>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</si>
  <si>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</si>
  <si>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</si>
  <si>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</si>
  <si>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</si>
  <si>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</si>
  <si>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</si>
  <si>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</si>
  <si>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</si>
  <si>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</si>
  <si>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</si>
  <si>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</si>
  <si>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</si>
  <si>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</si>
  <si>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</si>
  <si>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</si>
  <si>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</si>
  <si>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</si>
  <si>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</si>
  <si>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</si>
  <si>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</si>
  <si>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</si>
  <si>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</si>
  <si>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</si>
  <si>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</si>
  <si>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</si>
  <si>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</si>
  <si>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</si>
  <si>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</si>
  <si>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</si>
  <si>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</si>
  <si>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</si>
  <si>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</si>
  <si>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</si>
  <si>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</si>
  <si>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</si>
  <si>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</si>
  <si>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</si>
  <si>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</si>
  <si>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</si>
  <si>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</si>
  <si>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</si>
  <si>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</si>
  <si>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</si>
  <si>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</si>
  <si>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</si>
  <si>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</si>
  <si>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</si>
  <si>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</si>
  <si>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</si>
  <si>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</si>
  <si>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</si>
  <si>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</si>
  <si>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</si>
  <si>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</si>
  <si>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</si>
  <si>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</si>
  <si>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</si>
  <si>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</si>
  <si>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</si>
  <si>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</si>
  <si>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</si>
  <si>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</si>
  <si>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</si>
  <si>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</si>
  <si>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</si>
  <si>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</si>
  <si>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</si>
  <si>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</si>
  <si>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</si>
  <si>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</si>
  <si>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</si>
  <si>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</si>
  <si>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</si>
  <si>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</si>
  <si>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</si>
  <si>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</si>
  <si>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</si>
  <si>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</si>
  <si>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</si>
  <si>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</si>
  <si>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</si>
  <si>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</si>
  <si>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</si>
  <si>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</si>
  <si>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</si>
  <si>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</si>
  <si>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</si>
  <si>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</si>
  <si>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</si>
  <si>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</si>
  <si>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</si>
  <si>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</si>
  <si>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</si>
  <si>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</si>
  <si>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</si>
  <si>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</si>
  <si>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</si>
  <si>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</si>
  <si>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</si>
  <si>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</si>
  <si>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</si>
  <si>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</si>
  <si>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</si>
  <si>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</si>
  <si>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</si>
  <si>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</si>
  <si>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</si>
  <si>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</si>
  <si>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</si>
  <si>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</si>
  <si>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</si>
  <si>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</si>
  <si>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</si>
  <si>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</si>
  <si>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</si>
  <si>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</si>
  <si>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</si>
  <si>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</si>
  <si>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</si>
  <si>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</si>
  <si>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</si>
  <si>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</si>
  <si>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</si>
  <si>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</si>
  <si>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</si>
  <si>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</si>
  <si>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</si>
  <si>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</si>
  <si>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</si>
  <si>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</si>
  <si>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</si>
  <si>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</si>
  <si>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</si>
  <si>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</si>
  <si>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</si>
  <si>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</si>
  <si>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</si>
  <si>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</si>
  <si>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</si>
  <si>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</si>
  <si>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</si>
  <si>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</si>
  <si>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</si>
  <si>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</si>
  <si>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</si>
  <si>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</si>
  <si>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</si>
  <si>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</si>
  <si>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</si>
  <si>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</si>
  <si>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</si>
  <si>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</si>
  <si>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</si>
  <si>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</si>
  <si>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</si>
  <si>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</si>
  <si>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</si>
  <si>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</si>
  <si>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</si>
  <si>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</si>
  <si>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</si>
  <si>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</si>
  <si>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</si>
  <si>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</si>
  <si>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</si>
  <si>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</si>
  <si>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</si>
  <si>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</si>
  <si>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</si>
  <si>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</si>
  <si>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</si>
  <si>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</si>
  <si>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</si>
  <si>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</si>
  <si>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</si>
  <si>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</si>
  <si>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</si>
  <si>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</si>
  <si>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</si>
  <si>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</si>
  <si>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</si>
  <si>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</si>
  <si>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</si>
  <si>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</si>
  <si>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</si>
  <si>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</si>
  <si>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</si>
  <si>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</si>
  <si>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</si>
  <si>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</si>
  <si>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</si>
  <si>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</si>
  <si>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</si>
  <si>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</si>
  <si>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</si>
  <si>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</si>
  <si>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</si>
  <si>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</si>
  <si>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</si>
  <si>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</si>
  <si>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</si>
  <si>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</si>
  <si>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</si>
  <si>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</si>
  <si>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</si>
  <si>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>Дата на съставяне: 27.07.2012</t>
  </si>
  <si>
    <t xml:space="preserve">Дата на съставяне:  27.07.2012                              </t>
  </si>
  <si>
    <t xml:space="preserve">Дата  на съставяне: .27.07.2012                                                                                                                               </t>
  </si>
  <si>
    <t xml:space="preserve">Дата на съставяне: 27.07.2012                        </t>
  </si>
  <si>
    <t>Дата на съставяне:27.07.2012</t>
  </si>
  <si>
    <t>Дата: 27.07.2012…………..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</si>
</sst>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1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37">
      <selection activeCell="G59" sqref="G5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865</v>
      </c>
      <c r="F3" s="217" t="s">
        <v>2</v>
      </c>
      <c r="G3" s="172"/>
      <c r="H3" s="461">
        <v>103036725</v>
      </c>
    </row>
    <row r="4" spans="1:8" ht="15">
      <c r="A4" s="587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 t="s">
        <v>159</v>
      </c>
    </row>
    <row r="5" spans="1:8" ht="15">
      <c r="A5" s="587" t="s">
        <v>5</v>
      </c>
      <c r="B5" s="588"/>
      <c r="C5" s="588"/>
      <c r="D5" s="588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7239</v>
      </c>
      <c r="D12" s="151">
        <v>7327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11348</v>
      </c>
      <c r="D13" s="151">
        <v>11589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4525</v>
      </c>
      <c r="D14" s="151">
        <v>4761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203</v>
      </c>
      <c r="D15" s="151">
        <v>244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</v>
      </c>
      <c r="D17" s="151">
        <v>12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47</v>
      </c>
      <c r="D18" s="151">
        <v>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23926</v>
      </c>
      <c r="D19" s="155">
        <f>SUM(D11:D18)</f>
        <v>24534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8366</v>
      </c>
      <c r="H20" s="158">
        <v>8366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96</v>
      </c>
      <c r="D24" s="151">
        <v>101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15980</v>
      </c>
      <c r="H25" s="154">
        <f>H19+H20+H21</f>
        <v>15980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96</v>
      </c>
      <c r="D27" s="155">
        <f>SUM(D23:D26)</f>
        <v>101</v>
      </c>
      <c r="E27" s="253" t="s">
        <v>83</v>
      </c>
      <c r="F27" s="242" t="s">
        <v>84</v>
      </c>
      <c r="G27" s="154">
        <f>SUM(G28:G30)</f>
        <v>-2967</v>
      </c>
      <c r="H27" s="154">
        <f>SUM(H28:H30)</f>
        <v>-2933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1223</v>
      </c>
      <c r="H28" s="152">
        <v>1223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1366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-1601</v>
      </c>
      <c r="H33" s="154">
        <f>H27+H31+H32</f>
        <v>-2967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14990</v>
      </c>
      <c r="H36" s="154">
        <f>H25+H17+H33</f>
        <v>13624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3774+81+393+3053</f>
        <v>7301</v>
      </c>
      <c r="H43" s="152">
        <f>3774+81+393+3053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2933-30-268-869</f>
        <v>1766</v>
      </c>
      <c r="H44" s="152">
        <f>2933-30-268-869</f>
        <v>1766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41</f>
        <v>41</v>
      </c>
      <c r="H48" s="152">
        <f>41</f>
        <v>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9108</v>
      </c>
      <c r="H49" s="154">
        <f>SUM(H43:H48)</f>
        <v>9108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773-207</f>
        <v>566</v>
      </c>
      <c r="H53" s="152">
        <f>773-207</f>
        <v>566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24022</v>
      </c>
      <c r="D55" s="155">
        <f>D19+D20+D21+D27+D32+D45+D51+D53+D54</f>
        <v>24635</v>
      </c>
      <c r="E55" s="237" t="s">
        <v>172</v>
      </c>
      <c r="F55" s="261" t="s">
        <v>173</v>
      </c>
      <c r="G55" s="154">
        <f>G49+G51+G52+G53+G54</f>
        <v>9674</v>
      </c>
      <c r="H55" s="154">
        <f>H49+H51+H52+H53+H54</f>
        <v>9674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500</v>
      </c>
      <c r="D58" s="151">
        <v>697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935</v>
      </c>
      <c r="D59" s="151">
        <v>1277</v>
      </c>
      <c r="E59" s="251" t="s">
        <v>181</v>
      </c>
      <c r="F59" s="242" t="s">
        <v>182</v>
      </c>
      <c r="G59" s="152">
        <f>2102+30+268+869-120</f>
        <v>3149</v>
      </c>
      <c r="H59" s="152">
        <f>2103+30+268+869</f>
        <v>3270</v>
      </c>
      <c r="M59" s="157"/>
    </row>
    <row r="60" spans="1:8" ht="15">
      <c r="A60" s="235" t="s">
        <v>183</v>
      </c>
      <c r="B60" s="241" t="s">
        <v>184</v>
      </c>
      <c r="C60" s="151">
        <v>703</v>
      </c>
      <c r="D60" s="151">
        <v>816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217</v>
      </c>
      <c r="D61" s="151">
        <v>89</v>
      </c>
      <c r="E61" s="243" t="s">
        <v>189</v>
      </c>
      <c r="F61" s="272" t="s">
        <v>190</v>
      </c>
      <c r="G61" s="154">
        <f>SUM(G62:G68)</f>
        <v>3181</v>
      </c>
      <c r="H61" s="154">
        <f>SUM(H62:H68)</f>
        <v>2442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128</f>
        <v>128</v>
      </c>
      <c r="H62" s="152">
        <f>120+31</f>
        <v>151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2355</v>
      </c>
      <c r="D64" s="155">
        <f>SUM(D58:D63)</f>
        <v>2879</v>
      </c>
      <c r="E64" s="237" t="s">
        <v>200</v>
      </c>
      <c r="F64" s="242" t="s">
        <v>201</v>
      </c>
      <c r="G64" s="152">
        <f>9331-3053-3774-81</f>
        <v>2423</v>
      </c>
      <c r="H64" s="152">
        <f>8459-3053-3774-81</f>
        <v>1551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106</v>
      </c>
      <c r="H66" s="152">
        <v>130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77+20+44</f>
        <v>141</v>
      </c>
      <c r="H67" s="152">
        <f>88+17+37</f>
        <v>142</v>
      </c>
    </row>
    <row r="68" spans="1:8" ht="15">
      <c r="A68" s="235" t="s">
        <v>211</v>
      </c>
      <c r="B68" s="241" t="s">
        <v>212</v>
      </c>
      <c r="C68" s="151">
        <f>3989+62-93</f>
        <v>3958</v>
      </c>
      <c r="D68" s="151">
        <f>1180-93</f>
        <v>1087</v>
      </c>
      <c r="E68" s="237" t="s">
        <v>213</v>
      </c>
      <c r="F68" s="242" t="s">
        <v>214</v>
      </c>
      <c r="G68" s="152">
        <f>54+201+39+130-41</f>
        <v>383</v>
      </c>
      <c r="H68" s="152">
        <v>468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f>35-35</f>
        <v>0</v>
      </c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6346</v>
      </c>
      <c r="H71" s="161">
        <f>H59+H60+H61+H69+H70</f>
        <v>5725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11+239+21+46</f>
        <v>317</v>
      </c>
      <c r="D74" s="151">
        <v>218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4275</v>
      </c>
      <c r="D75" s="155">
        <f>SUM(D67:D74)</f>
        <v>1305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6346</v>
      </c>
      <c r="H79" s="162">
        <f>H71+H74+H75+H76</f>
        <v>5725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330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358</v>
      </c>
      <c r="D91" s="155">
        <f>SUM(D87:D90)</f>
        <v>204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6988</v>
      </c>
      <c r="D93" s="155">
        <f>D64+D75+D84+D91+D92</f>
        <v>4388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31010</v>
      </c>
      <c r="D94" s="164">
        <f>D93+D55</f>
        <v>29023</v>
      </c>
      <c r="E94" s="449" t="s">
        <v>270</v>
      </c>
      <c r="F94" s="289" t="s">
        <v>271</v>
      </c>
      <c r="G94" s="165">
        <f>G36+G39+G55+G79</f>
        <v>31010</v>
      </c>
      <c r="H94" s="165">
        <f>H36+H39+H55+H79</f>
        <v>29023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"Алфа Ууд България"АД</v>
      </c>
      <c r="C2" s="591"/>
      <c r="D2" s="591"/>
      <c r="E2" s="591"/>
      <c r="F2" s="593" t="s">
        <v>2</v>
      </c>
      <c r="G2" s="593"/>
      <c r="H2" s="526">
        <f>'справка №1-БАЛАНС'!H3</f>
        <v>103036725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>
        <f>'справка №1-БАЛАНС'!E5</f>
        <v>41090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710</v>
      </c>
      <c r="D9" s="46">
        <v>1251</v>
      </c>
      <c r="E9" s="298" t="s">
        <v>285</v>
      </c>
      <c r="F9" s="549" t="s">
        <v>286</v>
      </c>
      <c r="G9" s="550">
        <v>1119</v>
      </c>
      <c r="H9" s="550">
        <v>2503</v>
      </c>
    </row>
    <row r="10" spans="1:8" ht="12">
      <c r="A10" s="298" t="s">
        <v>287</v>
      </c>
      <c r="B10" s="299" t="s">
        <v>288</v>
      </c>
      <c r="C10" s="46">
        <f>365-20</f>
        <v>345</v>
      </c>
      <c r="D10" s="46">
        <f>332-42</f>
        <v>290</v>
      </c>
      <c r="E10" s="298" t="s">
        <v>289</v>
      </c>
      <c r="F10" s="549" t="s">
        <v>290</v>
      </c>
      <c r="G10" s="550">
        <f>2845+2441</f>
        <v>5286</v>
      </c>
      <c r="H10" s="550">
        <v>2000</v>
      </c>
    </row>
    <row r="11" spans="1:8" ht="12">
      <c r="A11" s="298" t="s">
        <v>291</v>
      </c>
      <c r="B11" s="299" t="s">
        <v>292</v>
      </c>
      <c r="C11" s="46">
        <f>397+110+110</f>
        <v>617</v>
      </c>
      <c r="D11" s="46">
        <v>378</v>
      </c>
      <c r="E11" s="300" t="s">
        <v>293</v>
      </c>
      <c r="F11" s="549" t="s">
        <v>294</v>
      </c>
      <c r="G11" s="550">
        <v>307</v>
      </c>
      <c r="H11" s="550">
        <v>87</v>
      </c>
    </row>
    <row r="12" spans="1:8" ht="12">
      <c r="A12" s="298" t="s">
        <v>295</v>
      </c>
      <c r="B12" s="299" t="s">
        <v>296</v>
      </c>
      <c r="C12" s="46">
        <v>434</v>
      </c>
      <c r="D12" s="46">
        <v>541</v>
      </c>
      <c r="E12" s="300" t="s">
        <v>78</v>
      </c>
      <c r="F12" s="549" t="s">
        <v>297</v>
      </c>
      <c r="G12" s="550">
        <f>2441+112+176-2441-109</f>
        <v>179</v>
      </c>
      <c r="H12" s="550">
        <f>112+230+182-28-11-182</f>
        <v>303</v>
      </c>
    </row>
    <row r="13" spans="1:18" ht="12">
      <c r="A13" s="298" t="s">
        <v>298</v>
      </c>
      <c r="B13" s="299" t="s">
        <v>299</v>
      </c>
      <c r="C13" s="46">
        <v>75</v>
      </c>
      <c r="D13" s="46">
        <v>86</v>
      </c>
      <c r="E13" s="301" t="s">
        <v>51</v>
      </c>
      <c r="F13" s="551" t="s">
        <v>300</v>
      </c>
      <c r="G13" s="548">
        <f>SUM(G9:G12)</f>
        <v>6891</v>
      </c>
      <c r="H13" s="548">
        <f>SUM(H9:H12)</f>
        <v>4893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2722+446+109-441-109</f>
        <v>2727</v>
      </c>
      <c r="D14" s="46">
        <f>843+11+28+977+182-11-28-182</f>
        <v>1820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f>214+2</f>
        <v>216</v>
      </c>
      <c r="D15" s="47">
        <v>144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97+20</f>
        <v>117</v>
      </c>
      <c r="D16" s="47">
        <f>111+42</f>
        <v>153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5241</v>
      </c>
      <c r="D19" s="49">
        <f>SUM(D9:D15)+D16</f>
        <v>4663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273</v>
      </c>
      <c r="D22" s="46">
        <v>220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284</v>
      </c>
      <c r="D26" s="49">
        <f>SUM(D22:D25)</f>
        <v>226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5525</v>
      </c>
      <c r="D28" s="50">
        <f>D26+D19</f>
        <v>4889</v>
      </c>
      <c r="E28" s="127" t="s">
        <v>339</v>
      </c>
      <c r="F28" s="554" t="s">
        <v>340</v>
      </c>
      <c r="G28" s="548">
        <f>G13+G15+G24</f>
        <v>6891</v>
      </c>
      <c r="H28" s="548">
        <f>H13+H15+H24</f>
        <v>4893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1366</v>
      </c>
      <c r="D30" s="50">
        <f>IF((H28-D28)&gt;0,H28-D28,0)</f>
        <v>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5525</v>
      </c>
      <c r="D33" s="49">
        <f>D28+D31+D32</f>
        <v>4889</v>
      </c>
      <c r="E33" s="127" t="s">
        <v>353</v>
      </c>
      <c r="F33" s="554" t="s">
        <v>354</v>
      </c>
      <c r="G33" s="53">
        <f>G32+G31+G28</f>
        <v>6891</v>
      </c>
      <c r="H33" s="53">
        <f>H32+H31+H28</f>
        <v>4893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1366</v>
      </c>
      <c r="D34" s="50">
        <f>IF((H33-D33)&gt;0,H33-D33,0)</f>
        <v>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1366</v>
      </c>
      <c r="D39" s="460">
        <f>+IF((H33-D33-D35)&gt;0,H33-D33-D35,0)</f>
        <v>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1366</v>
      </c>
      <c r="D41" s="52">
        <f>IF(H39=0,IF(D39-D40&gt;0,D39-D40+H40,0),IF(H39-H40&lt;0,H40-H39+D39,0))</f>
        <v>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6891</v>
      </c>
      <c r="D42" s="53">
        <f>D33+D35+D39</f>
        <v>4893</v>
      </c>
      <c r="E42" s="128" t="s">
        <v>380</v>
      </c>
      <c r="F42" s="129" t="s">
        <v>381</v>
      </c>
      <c r="G42" s="53">
        <f>G39+G33</f>
        <v>6891</v>
      </c>
      <c r="H42" s="53">
        <f>H39+H33</f>
        <v>4893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863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1">
        <v>41117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E47" sqref="E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"Алфа Ууд България"АД</v>
      </c>
      <c r="C4" s="541" t="s">
        <v>2</v>
      </c>
      <c r="D4" s="541">
        <f>'справка №1-БАЛАНС'!H3</f>
        <v>103036725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1336+1956</f>
        <v>3292</v>
      </c>
      <c r="D10" s="54">
        <v>3363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-1005+262-945-39</f>
        <v>-1727</v>
      </c>
      <c r="D11" s="54">
        <v>-2059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-289-274</f>
        <v>-563</v>
      </c>
      <c r="D13" s="54">
        <v>-685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-167-24-71-130</f>
        <v>-392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-9-39-13+39</f>
        <v>-22</v>
      </c>
      <c r="D19" s="54">
        <v>-232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587</v>
      </c>
      <c r="D20" s="55">
        <f>SUM(D10:D19)</f>
        <v>387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f>-5-113</f>
        <v>-118</v>
      </c>
      <c r="D37" s="54">
        <v>-61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f>-30-273</f>
        <v>-303</v>
      </c>
      <c r="D39" s="54">
        <v>-226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-421</v>
      </c>
      <c r="D42" s="55">
        <f>SUM(D34:D41)</f>
        <v>-287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154</v>
      </c>
      <c r="D43" s="55">
        <f>D42+D32+D20</f>
        <v>100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204</v>
      </c>
      <c r="D44" s="132">
        <v>94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358</v>
      </c>
      <c r="D45" s="55">
        <f>D44+D43</f>
        <v>194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358</v>
      </c>
      <c r="D46" s="56">
        <v>194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170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E11" sqref="E11:H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"Алфа Ууд България"АД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103036725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41090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8366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1223</v>
      </c>
      <c r="J11" s="58">
        <f>'справка №1-БАЛАНС'!H29+'справка №1-БАЛАНС'!H32</f>
        <v>-4190</v>
      </c>
      <c r="K11" s="60"/>
      <c r="L11" s="344">
        <f>SUM(C11:K11)</f>
        <v>13624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8366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1223</v>
      </c>
      <c r="J15" s="61">
        <f t="shared" si="2"/>
        <v>-4190</v>
      </c>
      <c r="K15" s="61">
        <f t="shared" si="2"/>
        <v>0</v>
      </c>
      <c r="L15" s="344">
        <f t="shared" si="1"/>
        <v>13624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1366</v>
      </c>
      <c r="J16" s="345">
        <f>+'справка №1-БАЛАНС'!G32</f>
        <v>0</v>
      </c>
      <c r="K16" s="60"/>
      <c r="L16" s="344">
        <f t="shared" si="1"/>
        <v>1366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8366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2589</v>
      </c>
      <c r="J29" s="59">
        <f t="shared" si="6"/>
        <v>-4190</v>
      </c>
      <c r="K29" s="59">
        <f t="shared" si="6"/>
        <v>0</v>
      </c>
      <c r="L29" s="344">
        <f t="shared" si="1"/>
        <v>14990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8366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2589</v>
      </c>
      <c r="J32" s="59">
        <f t="shared" si="7"/>
        <v>-4190</v>
      </c>
      <c r="K32" s="59">
        <f t="shared" si="7"/>
        <v>0</v>
      </c>
      <c r="L32" s="344">
        <f t="shared" si="1"/>
        <v>14990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864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7" t="s">
        <v>522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"Алфа Ууд България"АД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103036725</v>
      </c>
      <c r="P2" s="483"/>
      <c r="Q2" s="483"/>
      <c r="R2" s="526"/>
    </row>
    <row r="3" spans="1:18" ht="15">
      <c r="A3" s="615" t="s">
        <v>5</v>
      </c>
      <c r="B3" s="616"/>
      <c r="C3" s="618">
        <f>'справка №1-БАЛАНС'!E5</f>
        <v>41090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8890</v>
      </c>
      <c r="E10" s="189"/>
      <c r="F10" s="189"/>
      <c r="G10" s="74">
        <f aca="true" t="shared" si="2" ref="G10:G39">D10+E10-F10</f>
        <v>8890</v>
      </c>
      <c r="H10" s="65"/>
      <c r="I10" s="65"/>
      <c r="J10" s="74">
        <f aca="true" t="shared" si="3" ref="J10:J39">G10+H10-I10</f>
        <v>8890</v>
      </c>
      <c r="K10" s="65">
        <v>1564</v>
      </c>
      <c r="L10" s="65">
        <v>87</v>
      </c>
      <c r="M10" s="65"/>
      <c r="N10" s="74">
        <f aca="true" t="shared" si="4" ref="N10:N39">K10+L10-M10</f>
        <v>1651</v>
      </c>
      <c r="O10" s="65"/>
      <c r="P10" s="65"/>
      <c r="Q10" s="74">
        <f t="shared" si="0"/>
        <v>1651</v>
      </c>
      <c r="R10" s="74">
        <f t="shared" si="1"/>
        <v>7239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18750</v>
      </c>
      <c r="E11" s="189">
        <v>2</v>
      </c>
      <c r="F11" s="189">
        <f>39-39</f>
        <v>0</v>
      </c>
      <c r="G11" s="74">
        <f t="shared" si="2"/>
        <v>18752</v>
      </c>
      <c r="H11" s="65"/>
      <c r="I11" s="65"/>
      <c r="J11" s="74">
        <f t="shared" si="3"/>
        <v>18752</v>
      </c>
      <c r="K11" s="65">
        <v>7161</v>
      </c>
      <c r="L11" s="65">
        <v>243</v>
      </c>
      <c r="M11" s="65">
        <f>18-18</f>
        <v>0</v>
      </c>
      <c r="N11" s="74">
        <f t="shared" si="4"/>
        <v>7404</v>
      </c>
      <c r="O11" s="65"/>
      <c r="P11" s="65"/>
      <c r="Q11" s="74">
        <f t="shared" si="0"/>
        <v>7404</v>
      </c>
      <c r="R11" s="74">
        <f t="shared" si="1"/>
        <v>11348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7195</v>
      </c>
      <c r="E12" s="189"/>
      <c r="F12" s="189">
        <f>484-484</f>
        <v>0</v>
      </c>
      <c r="G12" s="74">
        <f t="shared" si="2"/>
        <v>7195</v>
      </c>
      <c r="H12" s="65"/>
      <c r="I12" s="65"/>
      <c r="J12" s="74">
        <f t="shared" si="3"/>
        <v>7195</v>
      </c>
      <c r="K12" s="65">
        <v>2434</v>
      </c>
      <c r="L12" s="65">
        <f>16+220</f>
        <v>236</v>
      </c>
      <c r="M12" s="65">
        <f>61-34-27</f>
        <v>0</v>
      </c>
      <c r="N12" s="74">
        <f t="shared" si="4"/>
        <v>2670</v>
      </c>
      <c r="O12" s="65"/>
      <c r="P12" s="65"/>
      <c r="Q12" s="74">
        <f t="shared" si="0"/>
        <v>2670</v>
      </c>
      <c r="R12" s="74">
        <f t="shared" si="1"/>
        <v>4525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792</v>
      </c>
      <c r="E13" s="189"/>
      <c r="F13" s="189">
        <v>5</v>
      </c>
      <c r="G13" s="74">
        <f t="shared" si="2"/>
        <v>787</v>
      </c>
      <c r="H13" s="65"/>
      <c r="I13" s="65"/>
      <c r="J13" s="74">
        <f t="shared" si="3"/>
        <v>787</v>
      </c>
      <c r="K13" s="65">
        <v>548</v>
      </c>
      <c r="L13" s="65">
        <v>36</v>
      </c>
      <c r="M13" s="65">
        <v>0</v>
      </c>
      <c r="N13" s="74">
        <f t="shared" si="4"/>
        <v>584</v>
      </c>
      <c r="O13" s="65"/>
      <c r="P13" s="65"/>
      <c r="Q13" s="74">
        <f t="shared" si="0"/>
        <v>584</v>
      </c>
      <c r="R13" s="74">
        <f t="shared" si="1"/>
        <v>203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12</v>
      </c>
      <c r="E15" s="457">
        <v>10</v>
      </c>
      <c r="F15" s="457"/>
      <c r="G15" s="74">
        <f t="shared" si="2"/>
        <v>22</v>
      </c>
      <c r="H15" s="458"/>
      <c r="I15" s="458"/>
      <c r="J15" s="74">
        <f t="shared" si="3"/>
        <v>22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411</v>
      </c>
      <c r="E16" s="189"/>
      <c r="F16" s="189">
        <v>3</v>
      </c>
      <c r="G16" s="74">
        <f t="shared" si="2"/>
        <v>408</v>
      </c>
      <c r="H16" s="65"/>
      <c r="I16" s="65"/>
      <c r="J16" s="74">
        <f t="shared" si="3"/>
        <v>408</v>
      </c>
      <c r="K16" s="65">
        <v>351</v>
      </c>
      <c r="L16" s="65">
        <v>10</v>
      </c>
      <c r="M16" s="65">
        <v>0</v>
      </c>
      <c r="N16" s="74">
        <f t="shared" si="4"/>
        <v>361</v>
      </c>
      <c r="O16" s="65"/>
      <c r="P16" s="65"/>
      <c r="Q16" s="74">
        <f aca="true" t="shared" si="5" ref="Q16:Q25">N16+O16-P16</f>
        <v>361</v>
      </c>
      <c r="R16" s="74">
        <f aca="true" t="shared" si="6" ref="R16:R25">J16-Q16</f>
        <v>47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36592</v>
      </c>
      <c r="E17" s="194">
        <f>SUM(E9:E16)</f>
        <v>12</v>
      </c>
      <c r="F17" s="194">
        <f>SUM(F9:F16)</f>
        <v>8</v>
      </c>
      <c r="G17" s="74">
        <f t="shared" si="2"/>
        <v>36596</v>
      </c>
      <c r="H17" s="75">
        <f>SUM(H9:H16)</f>
        <v>0</v>
      </c>
      <c r="I17" s="75">
        <f>SUM(I9:I16)</f>
        <v>0</v>
      </c>
      <c r="J17" s="74">
        <f t="shared" si="3"/>
        <v>36596</v>
      </c>
      <c r="K17" s="75">
        <f>SUM(K9:K16)</f>
        <v>12058</v>
      </c>
      <c r="L17" s="75">
        <f>SUM(L9:L16)</f>
        <v>612</v>
      </c>
      <c r="M17" s="75">
        <f>SUM(M9:M16)</f>
        <v>0</v>
      </c>
      <c r="N17" s="74">
        <f t="shared" si="4"/>
        <v>12670</v>
      </c>
      <c r="O17" s="75">
        <f>SUM(O9:O16)</f>
        <v>0</v>
      </c>
      <c r="P17" s="75">
        <f>SUM(P9:P16)</f>
        <v>0</v>
      </c>
      <c r="Q17" s="74">
        <f t="shared" si="5"/>
        <v>12670</v>
      </c>
      <c r="R17" s="74">
        <f t="shared" si="6"/>
        <v>23926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/>
      <c r="F22" s="189"/>
      <c r="G22" s="74">
        <f t="shared" si="2"/>
        <v>161</v>
      </c>
      <c r="H22" s="65"/>
      <c r="I22" s="65"/>
      <c r="J22" s="74">
        <f t="shared" si="3"/>
        <v>161</v>
      </c>
      <c r="K22" s="65">
        <v>60</v>
      </c>
      <c r="L22" s="65">
        <v>5</v>
      </c>
      <c r="M22" s="65"/>
      <c r="N22" s="74">
        <f t="shared" si="4"/>
        <v>65</v>
      </c>
      <c r="O22" s="65"/>
      <c r="P22" s="65"/>
      <c r="Q22" s="74">
        <f t="shared" si="5"/>
        <v>65</v>
      </c>
      <c r="R22" s="74">
        <f t="shared" si="6"/>
        <v>96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60</v>
      </c>
      <c r="L25" s="66">
        <f t="shared" si="7"/>
        <v>5</v>
      </c>
      <c r="M25" s="66">
        <f t="shared" si="7"/>
        <v>0</v>
      </c>
      <c r="N25" s="67">
        <f t="shared" si="4"/>
        <v>65</v>
      </c>
      <c r="O25" s="66">
        <f t="shared" si="7"/>
        <v>0</v>
      </c>
      <c r="P25" s="66">
        <f t="shared" si="7"/>
        <v>0</v>
      </c>
      <c r="Q25" s="67">
        <f t="shared" si="5"/>
        <v>65</v>
      </c>
      <c r="R25" s="67">
        <f t="shared" si="6"/>
        <v>96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36753</v>
      </c>
      <c r="E40" s="438">
        <f>E17+E18+E19+E25+E38+E39</f>
        <v>12</v>
      </c>
      <c r="F40" s="438">
        <f aca="true" t="shared" si="13" ref="F40:R40">F17+F18+F19+F25+F38+F39</f>
        <v>8</v>
      </c>
      <c r="G40" s="438">
        <f t="shared" si="13"/>
        <v>36757</v>
      </c>
      <c r="H40" s="438">
        <f t="shared" si="13"/>
        <v>0</v>
      </c>
      <c r="I40" s="438">
        <f t="shared" si="13"/>
        <v>0</v>
      </c>
      <c r="J40" s="438">
        <f t="shared" si="13"/>
        <v>36757</v>
      </c>
      <c r="K40" s="438">
        <f t="shared" si="13"/>
        <v>12118</v>
      </c>
      <c r="L40" s="438">
        <f t="shared" si="13"/>
        <v>617</v>
      </c>
      <c r="M40" s="438">
        <f t="shared" si="13"/>
        <v>0</v>
      </c>
      <c r="N40" s="438">
        <f t="shared" si="13"/>
        <v>12735</v>
      </c>
      <c r="O40" s="438">
        <f t="shared" si="13"/>
        <v>0</v>
      </c>
      <c r="P40" s="438">
        <f t="shared" si="13"/>
        <v>0</v>
      </c>
      <c r="Q40" s="438">
        <f t="shared" si="13"/>
        <v>12735</v>
      </c>
      <c r="R40" s="438">
        <f t="shared" si="13"/>
        <v>24022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7" sqref="D97:E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"Алфа Ууд България"АД</v>
      </c>
      <c r="C3" s="627"/>
      <c r="D3" s="526" t="s">
        <v>2</v>
      </c>
      <c r="E3" s="107">
        <f>'справка №1-БАЛАНС'!H3</f>
        <v>103036725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>
        <f>'справка №1-БАЛАНС'!E5</f>
        <v>41090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3958</v>
      </c>
      <c r="D28" s="108">
        <v>3958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317</v>
      </c>
      <c r="D38" s="105">
        <f>SUM(D39:D42)</f>
        <v>317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317</v>
      </c>
      <c r="D42" s="108">
        <v>317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4275</v>
      </c>
      <c r="D43" s="104">
        <f>D24+D28+D29+D31+D30+D32+D33+D38</f>
        <v>4275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4275</v>
      </c>
      <c r="D44" s="103">
        <f>D43+D21+D19+D9</f>
        <v>4275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7301</v>
      </c>
      <c r="D52" s="103">
        <f>SUM(D53:D55)</f>
        <v>0</v>
      </c>
      <c r="E52" s="119">
        <f>C52-D52</f>
        <v>7301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7301</v>
      </c>
      <c r="D54" s="108">
        <v>0</v>
      </c>
      <c r="E54" s="119">
        <f aca="true" t="shared" si="1" ref="E54:E95">C54-D54</f>
        <v>7301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1766</v>
      </c>
      <c r="D56" s="103">
        <f>D57+D59</f>
        <v>0</v>
      </c>
      <c r="E56" s="119">
        <f t="shared" si="1"/>
        <v>1766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1485</v>
      </c>
      <c r="D57" s="108"/>
      <c r="E57" s="119">
        <f t="shared" si="1"/>
        <v>1485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281</v>
      </c>
      <c r="D59" s="108"/>
      <c r="E59" s="119">
        <f t="shared" si="1"/>
        <v>281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41</v>
      </c>
      <c r="D64" s="108"/>
      <c r="E64" s="119">
        <f t="shared" si="1"/>
        <v>41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9108</v>
      </c>
      <c r="D66" s="103">
        <f>D52+D56+D61+D62+D63+D64</f>
        <v>0</v>
      </c>
      <c r="E66" s="119">
        <f t="shared" si="1"/>
        <v>9108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566</v>
      </c>
      <c r="D68" s="108">
        <v>566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128</v>
      </c>
      <c r="D71" s="105">
        <f>SUM(D72:D74)</f>
        <v>128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128</v>
      </c>
      <c r="D74" s="108">
        <v>128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3149</v>
      </c>
      <c r="D75" s="103">
        <f>D76+D78</f>
        <v>3149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3149</v>
      </c>
      <c r="D76" s="108">
        <v>3149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3053</v>
      </c>
      <c r="D85" s="104">
        <f>SUM(D86:D90)+D94</f>
        <v>3053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2423</v>
      </c>
      <c r="D87" s="108">
        <v>2423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106</v>
      </c>
      <c r="D89" s="108">
        <v>106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383</v>
      </c>
      <c r="D90" s="103">
        <f>SUM(D91:D93)</f>
        <v>383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201</v>
      </c>
      <c r="D92" s="108">
        <v>201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182</v>
      </c>
      <c r="D93" s="108">
        <v>182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141</v>
      </c>
      <c r="D94" s="108">
        <v>141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6346</v>
      </c>
      <c r="D96" s="104">
        <f>D85+D80+D75+D71+D95</f>
        <v>6346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16020</v>
      </c>
      <c r="D97" s="104">
        <f>D96+D68+D66</f>
        <v>6912</v>
      </c>
      <c r="E97" s="104">
        <f>E96+E68+E66</f>
        <v>9108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5">
        <v>41117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"Алфа Ууд България"АД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103036725</v>
      </c>
    </row>
    <row r="5" spans="1:9" ht="15">
      <c r="A5" s="501" t="s">
        <v>5</v>
      </c>
      <c r="B5" s="629">
        <f>'справка №1-БАЛАНС'!E5</f>
        <v>41090</v>
      </c>
      <c r="C5" s="629"/>
      <c r="D5" s="629"/>
      <c r="E5" s="629"/>
      <c r="F5" s="629"/>
      <c r="G5" s="632" t="s">
        <v>4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31"/>
      <c r="C30" s="631"/>
      <c r="D30" s="459" t="s">
        <v>820</v>
      </c>
      <c r="E30" s="630"/>
      <c r="F30" s="630"/>
      <c r="G30" s="630"/>
      <c r="H30" s="420" t="s">
        <v>782</v>
      </c>
      <c r="I30" s="630"/>
      <c r="J30" s="63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9">
      <selection activeCell="B34" sqref="B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5"/>
    </row>
    <row r="2" ht="12.75">
      <c r="A2" s="580"/>
    </row>
    <row r="3" ht="12.75">
      <c r="A3" s="580"/>
    </row>
    <row r="4" ht="12.75">
      <c r="A4" s="580"/>
    </row>
    <row r="6" ht="12.75">
      <c r="A6" s="576"/>
    </row>
    <row r="7" ht="12.75">
      <c r="A7" s="575"/>
    </row>
    <row r="8" ht="12.75">
      <c r="A8" s="576"/>
    </row>
    <row r="9" ht="12.75">
      <c r="A9" s="576"/>
    </row>
    <row r="10" ht="12.75">
      <c r="A10" s="577" t="s">
        <v>867</v>
      </c>
    </row>
    <row r="11" ht="12.75">
      <c r="A11" s="576" t="s">
        <v>868</v>
      </c>
    </row>
    <row r="12" ht="12.75">
      <c r="A12" s="576"/>
    </row>
    <row r="13" ht="13.5" thickBot="1">
      <c r="A13" s="576"/>
    </row>
    <row r="14" ht="26.25" thickBot="1">
      <c r="A14" s="578" t="s">
        <v>869</v>
      </c>
    </row>
    <row r="19" ht="12.75">
      <c r="A19" s="580"/>
    </row>
    <row r="20" ht="12.75">
      <c r="A20" s="580" t="s">
        <v>870</v>
      </c>
    </row>
    <row r="21" ht="12.75">
      <c r="A21" s="580"/>
    </row>
    <row r="22" ht="12.75">
      <c r="A22" s="580" t="s">
        <v>871</v>
      </c>
    </row>
    <row r="23" ht="12.75">
      <c r="A23" s="580" t="s">
        <v>872</v>
      </c>
    </row>
    <row r="24" ht="12.75">
      <c r="A24" s="580" t="s">
        <v>873</v>
      </c>
    </row>
    <row r="25" ht="12.75">
      <c r="A25" s="579"/>
    </row>
    <row r="26" ht="38.25">
      <c r="A26" s="580" t="s">
        <v>874</v>
      </c>
    </row>
    <row r="27" ht="12.75">
      <c r="A27" s="580"/>
    </row>
    <row r="28" ht="12.75">
      <c r="A28" s="580"/>
    </row>
    <row r="29" ht="12.75">
      <c r="A29" s="580"/>
    </row>
    <row r="30" ht="12.75">
      <c r="A30" s="580"/>
    </row>
    <row r="31" ht="12.75">
      <c r="A31" s="580"/>
    </row>
    <row r="32" ht="12.75">
      <c r="A32" s="580"/>
    </row>
    <row r="33" ht="12.75">
      <c r="A33" s="580"/>
    </row>
    <row r="34" ht="12.75">
      <c r="A34" s="580" t="s">
        <v>880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5"/>
      <c r="C5" s="635"/>
      <c r="D5" s="635"/>
      <c r="E5" s="570" t="s">
        <v>2</v>
      </c>
      <c r="F5" s="451">
        <f>'справка №1-БАЛАНС'!H3</f>
        <v>103036725</v>
      </c>
    </row>
    <row r="6" spans="1:13" ht="15" customHeight="1">
      <c r="A6" s="27" t="s">
        <v>823</v>
      </c>
      <c r="B6" s="636">
        <f>'справка №1-БАЛАНС'!E5</f>
        <v>41090</v>
      </c>
      <c r="C6" s="636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7" t="s">
        <v>850</v>
      </c>
      <c r="D151" s="637"/>
      <c r="E151" s="637"/>
      <c r="F151" s="637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858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2012-08-06T07:19:12Z</cp:lastPrinted>
  <dcterms:created xsi:type="dcterms:W3CDTF">2000-06-29T12:02:40Z</dcterms:created>
  <dcterms:modified xsi:type="dcterms:W3CDTF">2012-08-06T09:34:40Z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