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<sst xmlns="http://schemas.openxmlformats.org/spreadsheetml/2006/main" count="1065" uniqueCount="879">
  <si>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</si>
  <si>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</si>
  <si>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</si>
  <si>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</si>
  <si>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</si>
  <si>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</si>
  <si>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</si>
  <si>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</si>
  <si>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</si>
  <si>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</si>
  <si>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</si>
  <si>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</si>
  <si>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</si>
  <si>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</si>
  <si>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</si>
  <si>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</si>
  <si>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</si>
  <si>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</si>
  <si>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</si>
  <si>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</si>
  <si>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</si>
  <si>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</si>
  <si>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</si>
  <si>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</si>
  <si>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</si>
  <si>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</si>
  <si>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</si>
  <si>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</si>
  <si>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</si>
  <si>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</si>
  <si>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</si>
  <si>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</si>
  <si>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</si>
  <si>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</si>
  <si>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</si>
  <si>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</si>
  <si>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</si>
  <si>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</si>
  <si>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</si>
  <si>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</si>
  <si>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</si>
  <si>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</si>
  <si>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</si>
  <si>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</si>
  <si>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</si>
  <si>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</si>
  <si>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</si>
  <si>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</si>
  <si>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</si>
  <si>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</si>
  <si>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</si>
  <si>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</si>
  <si>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</si>
  <si>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</si>
  <si>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</si>
  <si>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</si>
  <si>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</si>
  <si>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</si>
  <si>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</si>
  <si>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</si>
  <si>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</si>
  <si>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</si>
  <si>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</si>
  <si>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</si>
  <si>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</si>
  <si>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</si>
  <si>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</si>
  <si>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</si>
  <si>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</si>
  <si>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</si>
  <si>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</si>
  <si>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</si>
  <si>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</si>
  <si>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</si>
  <si>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</si>
  <si>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</si>
  <si>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</si>
  <si>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</si>
  <si>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</si>
  <si>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</si>
  <si>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</si>
  <si>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</si>
  <si>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</si>
  <si>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</si>
  <si>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</si>
  <si>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</si>
  <si>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</si>
  <si>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</si>
  <si>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</si>
  <si>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</si>
  <si>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</si>
  <si>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</si>
  <si>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</si>
  <si>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</si>
  <si>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</si>
  <si>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</si>
  <si>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</si>
  <si>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</si>
  <si>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</si>
  <si>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</si>
  <si>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</si>
  <si>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</si>
  <si>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</si>
  <si>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</si>
  <si>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</si>
  <si>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</si>
  <si>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</si>
  <si>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</si>
  <si>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</si>
  <si>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</si>
  <si>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</si>
  <si>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</si>
  <si>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</si>
  <si>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</si>
  <si>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</si>
  <si>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</si>
  <si>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</si>
  <si>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</si>
  <si>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</si>
  <si>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</si>
  <si>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</si>
  <si>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</si>
  <si>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</si>
  <si>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</si>
  <si>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</si>
  <si>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</si>
  <si>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</si>
  <si>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</si>
  <si>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</si>
  <si>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</si>
  <si>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</si>
  <si>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</si>
  <si>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</si>
  <si>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</si>
  <si>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</si>
  <si>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</si>
  <si>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</si>
  <si>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</si>
  <si>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</si>
  <si>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</si>
  <si>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</si>
  <si>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</si>
  <si>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</si>
  <si>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</si>
  <si>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</si>
  <si>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</si>
  <si>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</si>
  <si>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</si>
  <si>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</si>
  <si>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</si>
  <si>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</si>
  <si>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</si>
  <si>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</si>
  <si>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</si>
  <si>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</si>
  <si>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</si>
  <si>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</si>
  <si>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</si>
  <si>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</si>
  <si>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</si>
  <si>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</si>
  <si>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</si>
  <si>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</si>
  <si>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</si>
  <si>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</si>
  <si>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</si>
  <si>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</si>
  <si>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</si>
  <si>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</si>
  <si>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</si>
  <si>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</si>
  <si>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</si>
  <si>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</si>
  <si>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</si>
  <si>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</si>
  <si>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</si>
  <si>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</si>
  <si>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</si>
  <si>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</si>
  <si>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</si>
  <si>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</si>
  <si>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</si>
  <si>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</si>
  <si>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</si>
  <si>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</si>
  <si>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</si>
  <si>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</si>
  <si>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</si>
  <si>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</si>
  <si>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</si>
  <si>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</si>
  <si>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</si>
  <si>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</si>
  <si>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</si>
  <si>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</si>
  <si>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</si>
  <si>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</si>
  <si>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</si>
  <si>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</si>
  <si>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</si>
  <si>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</si>
  <si>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</si>
  <si>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</si>
  <si>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</si>
  <si>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</si>
  <si>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</si>
  <si>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</si>
  <si>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</si>
  <si>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</si>
  <si>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</si>
  <si>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</si>
  <si>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</si>
  <si>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</si>
  <si>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</si>
  <si>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</si>
  <si>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</si>
  <si>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</si>
  <si>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</si>
  <si>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</si>
  <si>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</si>
  <si>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</si>
  <si>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</si>
  <si>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</si>
  <si>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</si>
  <si>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</si>
  <si>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</si>
  <si>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</si>
  <si>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</si>
  <si>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</si>
  <si>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</si>
  <si>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</si>
  <si>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</si>
  <si>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</si>
  <si>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</si>
  <si>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</si>
  <si>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</si>
  <si>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</si>
  <si>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</si>
  <si>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</si>
  <si>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</si>
  <si>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</si>
  <si>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</si>
  <si>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</si>
  <si>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</si>
  <si>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</si>
  <si>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</si>
  <si>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</si>
  <si>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</si>
  <si>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</si>
  <si>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</si>
  <si>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</si>
  <si>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</si>
  <si>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</si>
  <si>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</si>
  <si>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</si>
  <si>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</si>
  <si>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</si>
  <si>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</si>
  <si>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</si>
  <si>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</si>
  <si>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</si>
  <si>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</si>
  <si>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</si>
  <si>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</si>
  <si>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</si>
  <si>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</si>
  <si>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</si>
  <si>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</si>
  <si>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</si>
  <si>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</si>
  <si>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</si>
  <si>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</si>
  <si>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</si>
  <si>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</si>
  <si>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</si>
  <si>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</si>
  <si>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</si>
  <si>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</si>
  <si>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</si>
  <si>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</si>
  <si>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</si>
  <si>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</si>
  <si>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</si>
  <si>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</si>
  <si>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</si>
  <si>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</si>
  <si>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</si>
  <si>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</si>
  <si>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</si>
  <si>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</si>
  <si>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</si>
  <si>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</si>
  <si>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</si>
  <si>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</si>
  <si>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</si>
  <si>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</si>
  <si>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</si>
  <si>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</si>
  <si>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</si>
  <si>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</si>
  <si>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</si>
  <si>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</si>
  <si>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</si>
  <si>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</si>
  <si>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</si>
  <si>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</si>
  <si>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</si>
  <si>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</si>
  <si>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</si>
  <si>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</si>
  <si>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</si>
  <si>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</si>
  <si>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</si>
  <si>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</si>
  <si>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</si>
  <si>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</si>
  <si>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</si>
  <si>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</si>
  <si>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</si>
  <si>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</si>
  <si>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</si>
  <si>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</si>
  <si>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</si>
  <si>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</si>
  <si>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</si>
  <si>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</si>
  <si>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</si>
  <si>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</si>
  <si>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</si>
  <si>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</si>
  <si>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</si>
  <si>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</si>
  <si>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</si>
  <si>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</si>
  <si>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</si>
  <si>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</si>
  <si>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</si>
  <si>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</si>
  <si>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</si>
  <si>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</si>
  <si>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</si>
  <si>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</si>
  <si>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</si>
  <si>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</si>
  <si>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</si>
  <si>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</si>
  <si>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</si>
  <si>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</si>
  <si>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</si>
  <si>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</si>
  <si>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</si>
  <si>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</si>
  <si>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</si>
  <si>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</si>
  <si>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</si>
  <si>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</si>
  <si>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</si>
  <si>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</si>
  <si>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</si>
  <si>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</si>
  <si>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</si>
  <si>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</si>
  <si>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</si>
  <si>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</si>
  <si>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</si>
  <si>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</si>
  <si>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</si>
  <si>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</si>
  <si>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</si>
  <si>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</si>
  <si>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</si>
  <si>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</si>
  <si>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</si>
  <si>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</si>
  <si>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</si>
  <si>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</si>
  <si>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</si>
  <si>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</si>
  <si>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</si>
  <si>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</si>
  <si>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</si>
  <si>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</si>
  <si>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</si>
  <si>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</si>
  <si>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</si>
  <si>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</si>
  <si>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</si>
  <si>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</si>
  <si>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</si>
  <si>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</si>
  <si>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</si>
  <si>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</si>
  <si>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</si>
  <si>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</si>
  <si>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</si>
  <si>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</si>
  <si>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</si>
  <si>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</si>
  <si>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</si>
  <si>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</si>
  <si>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</si>
  <si>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</si>
  <si>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</si>
  <si>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</si>
  <si>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</si>
  <si>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</si>
  <si>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</si>
  <si>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</si>
  <si>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</si>
  <si>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</si>
  <si>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</si>
  <si>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</si>
  <si>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</si>
  <si>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</si>
  <si>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</si>
  <si>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</si>
  <si>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</si>
  <si>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</si>
  <si>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</si>
  <si>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</si>
  <si>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</si>
  <si>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</si>
  <si>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</si>
  <si>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</si>
  <si>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</si>
  <si>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</si>
  <si>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</si>
  <si>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</si>
  <si>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</si>
  <si>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</si>
  <si>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</si>
  <si>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</si>
  <si>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</si>
  <si>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</si>
  <si>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</si>
  <si>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</si>
  <si>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</si>
  <si>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</si>
  <si>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</si>
  <si>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</si>
  <si>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</si>
  <si>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</si>
  <si>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</si>
  <si>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</si>
  <si>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</si>
  <si>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</si>
  <si>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</si>
  <si>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</si>
  <si>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</si>
  <si>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</si>
  <si>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</si>
  <si>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</si>
  <si>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</si>
  <si>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</si>
  <si>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</si>
  <si>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</si>
  <si>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</si>
  <si>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</si>
  <si>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</si>
  <si>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</si>
  <si>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</si>
  <si>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</si>
  <si>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</si>
  <si>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</si>
  <si>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</si>
  <si>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</si>
  <si>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</si>
  <si>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</si>
  <si>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</si>
  <si>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</si>
  <si>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</si>
  <si>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</si>
  <si>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</si>
  <si>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</si>
  <si>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</si>
  <si>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</si>
  <si>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</si>
  <si>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</si>
  <si>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</si>
  <si>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</si>
  <si>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</si>
  <si>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</si>
  <si>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</si>
  <si>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</si>
  <si>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</si>
  <si>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</si>
  <si>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</si>
  <si>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</si>
  <si>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</si>
  <si>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</si>
  <si>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</si>
  <si>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</si>
  <si>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</si>
  <si>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</si>
  <si>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</si>
  <si>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</si>
  <si>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</si>
  <si>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</si>
  <si>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</si>
  <si>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</si>
  <si>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</si>
  <si>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</si>
  <si>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</si>
  <si>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</si>
  <si>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</si>
  <si>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</si>
  <si>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</si>
  <si>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</si>
  <si>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</si>
  <si>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</si>
  <si>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</si>
  <si>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</si>
  <si>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</si>
  <si>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</si>
  <si>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</si>
  <si>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</si>
  <si>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</si>
  <si>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</si>
  <si>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</si>
  <si>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</si>
  <si>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</si>
  <si>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</si>
  <si>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</si>
  <si>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</si>
  <si>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</si>
  <si>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</si>
  <si>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</si>
  <si>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</si>
  <si>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</si>
  <si>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</si>
  <si>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</si>
  <si>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</si>
  <si>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</si>
  <si>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</si>
  <si>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</si>
  <si>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</si>
  <si>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</si>
  <si>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</si>
  <si>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</si>
  <si>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</si>
  <si>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</si>
  <si>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</si>
  <si>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</si>
  <si>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</si>
  <si>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</si>
  <si>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</si>
  <si>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</si>
  <si>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</si>
  <si>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</si>
  <si>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</si>
  <si>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</si>
  <si>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</si>
  <si>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</si>
  <si>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</si>
  <si>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</si>
  <si>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</si>
  <si>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</si>
  <si>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</si>
  <si>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</si>
  <si>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</si>
  <si>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</si>
  <si>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</si>
  <si>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</si>
  <si>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</si>
  <si>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</si>
  <si>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</si>
  <si>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</si>
  <si>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</si>
  <si>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</si>
  <si>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</si>
  <si>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</si>
  <si>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</si>
  <si>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</si>
  <si>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</si>
  <si>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</si>
  <si>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</si>
  <si>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</si>
  <si>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</si>
  <si>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</si>
  <si>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</si>
  <si>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</si>
  <si>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</si>
  <si>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</si>
  <si>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</si>
  <si>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</si>
  <si>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</si>
  <si>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</si>
  <si>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</si>
  <si>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</si>
  <si>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</si>
  <si>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</si>
  <si>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</si>
  <si>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</si>
  <si>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</si>
  <si>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</si>
  <si>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</si>
  <si>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</si>
  <si>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</si>
  <si>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</si>
  <si>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</si>
  <si>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</si>
  <si>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</si>
  <si>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</si>
  <si>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</si>
  <si>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</si>
  <si>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</si>
  <si>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</si>
  <si>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</si>
  <si>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</si>
  <si>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</si>
  <si>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</si>
  <si>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</si>
  <si>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</si>
  <si>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</si>
  <si>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</si>
  <si>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</si>
  <si>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</si>
  <si>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</si>
  <si>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</si>
  <si>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</si>
  <si>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</si>
  <si>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</si>
  <si>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</si>
  <si>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</si>
  <si>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</si>
  <si>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</si>
  <si>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</si>
  <si>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</si>
  <si>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</si>
  <si>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</si>
  <si>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</si>
  <si>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</si>
  <si>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</si>
  <si>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</si>
  <si>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</si>
  <si>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</si>
  <si>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</si>
  <si>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</si>
  <si>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</si>
  <si>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</si>
  <si>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</si>
  <si>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</si>
  <si>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</si>
  <si>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</si>
  <si>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</si>
  <si>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</si>
  <si>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</si>
  <si>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</si>
  <si>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</si>
  <si>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</si>
  <si>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</si>
  <si>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</si>
  <si>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</si>
  <si>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</si>
  <si>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</si>
  <si>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</si>
  <si>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</si>
  <si>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</si>
  <si>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</si>
  <si>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</si>
  <si>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</si>
  <si>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</si>
  <si>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</si>
  <si>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</si>
  <si>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</si>
  <si>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</si>
  <si>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</si>
  <si>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</si>
  <si>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</si>
  <si>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</si>
  <si>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</si>
  <si>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</si>
  <si>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</si>
  <si>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</si>
  <si>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</si>
  <si>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</si>
  <si>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</si>
  <si>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</si>
  <si>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</si>
  <si>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</si>
  <si>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</si>
  <si>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</si>
  <si>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</si>
  <si>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</si>
  <si>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</si>
  <si>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</si>
  <si>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</si>
  <si>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</si>
  <si>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</si>
  <si>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</si>
  <si>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</si>
  <si>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</si>
  <si>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</si>
  <si>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</si>
  <si>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</si>
  <si>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</si>
  <si>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</si>
  <si>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</si>
  <si>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</si>
  <si>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</si>
  <si>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</si>
  <si>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</si>
  <si>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</si>
  <si>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</si>
  <si>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</si>
  <si>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</si>
  <si>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</si>
  <si>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</si>
  <si>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</si>
  <si>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</si>
  <si>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</si>
  <si>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</si>
  <si>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</si>
  <si>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</si>
  <si>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</si>
  <si>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</si>
  <si>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</si>
  <si>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</si>
  <si>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</si>
  <si>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</si>
  <si>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</si>
  <si>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</si>
  <si>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</si>
  <si>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</si>
  <si>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</si>
  <si>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</si>
  <si>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</si>
  <si>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</si>
  <si>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</si>
  <si>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</si>
  <si>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</si>
  <si>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</si>
  <si>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</si>
  <si>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</si>
  <si>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</si>
  <si>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</si>
  <si>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</si>
  <si>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</si>
  <si>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</si>
  <si>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</si>
  <si>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</si>
  <si>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</si>
  <si>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</si>
  <si>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</si>
  <si>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</si>
  <si>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</si>
  <si>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</si>
  <si>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</si>
  <si>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</si>
  <si>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</si>
  <si>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</si>
  <si>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</si>
  <si>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</si>
  <si>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</si>
  <si>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</si>
  <si>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</si>
  <si>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</si>
  <si>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</si>
  <si>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</si>
  <si>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</si>
  <si>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</si>
  <si>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</si>
  <si>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</si>
  <si>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</si>
  <si>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</si>
  <si>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</si>
  <si>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</si>
  <si>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</si>
  <si>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</si>
  <si>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</si>
  <si>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</si>
  <si>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</si>
  <si>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</si>
  <si>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</si>
  <si>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</si>
  <si>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</si>
  <si>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</si>
  <si>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</si>
  <si>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</si>
  <si>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</si>
  <si>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</si>
  <si>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</si>
  <si>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</si>
  <si>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</si>
  <si>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</si>
  <si>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</si>
  <si>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</si>
  <si>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</si>
  <si>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</si>
  <si>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</si>
  <si>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</si>
  <si>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</si>
  <si>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</si>
  <si>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</si>
  <si>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</si>
  <si>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</si>
  <si>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</si>
  <si>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</si>
  <si>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</si>
  <si>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</si>
  <si>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</si>
  <si>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</si>
  <si>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</si>
  <si>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</si>
  <si>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</si>
  <si>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</si>
  <si>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</si>
  <si>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</si>
  <si>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</si>
  <si>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</si>
  <si>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</si>
  <si>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</si>
  <si>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</si>
  <si>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</si>
  <si>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</si>
  <si>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</si>
  <si>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</si>
  <si>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</si>
  <si>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</si>
  <si>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</si>
  <si>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</si>
  <si>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</si>
  <si>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</si>
  <si>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</si>
  <si>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</si>
  <si>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</si>
  <si>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</si>
  <si>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</si>
  <si>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</si>
  <si>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</si>
  <si>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</si>
  <si>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</si>
  <si>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</si>
  <si>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</si>
  <si>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</si>
  <si>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</si>
  <si>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</si>
  <si>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</si>
  <si>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</si>
  <si>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</si>
  <si>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</si>
  <si>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</si>
  <si>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</si>
  <si>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</si>
  <si>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</si>
  <si>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</si>
  <si>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</si>
  <si>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</si>
  <si>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</si>
  <si>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</si>
  <si>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</si>
  <si>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</si>
  <si>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</si>
  <si>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</si>
  <si>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</si>
  <si>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</si>
  <si>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</si>
  <si>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</si>
  <si>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</si>
  <si>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</si>
  <si>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</si>
  <si>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</si>
  <si>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</si>
  <si>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</si>
  <si>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</si>
  <si>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</si>
  <si>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</si>
  <si>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</si>
  <si>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</si>
  <si>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</si>
  <si>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</si>
  <si>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</si>
  <si>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</si>
  <si>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</si>
  <si>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</si>
  <si>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31.07.2013                       </t>
  </si>
  <si>
    <t>Дата на съставяне:31.07.2013</t>
  </si>
  <si>
    <t>Дата: 31.07.2013…………..        Съставител: ………………..        Ръководител: …………………</t>
  </si>
  <si>
    <t>Дата на съставяне: 31.07.2013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</si>
</sst>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31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4">
      <selection activeCell="C68" sqref="C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8" t="s">
        <v>1</v>
      </c>
      <c r="B3" s="583"/>
      <c r="C3" s="583"/>
      <c r="D3" s="583"/>
      <c r="E3" s="460" t="s">
        <v>865</v>
      </c>
      <c r="F3" s="217" t="s">
        <v>2</v>
      </c>
      <c r="G3" s="172"/>
      <c r="H3" s="459">
        <v>103036725</v>
      </c>
    </row>
    <row r="4" spans="1:8" ht="15">
      <c r="A4" s="588" t="s">
        <v>3</v>
      </c>
      <c r="B4" s="589"/>
      <c r="C4" s="589"/>
      <c r="D4" s="589"/>
      <c r="E4" s="502" t="s">
        <v>866</v>
      </c>
      <c r="F4" s="584" t="s">
        <v>4</v>
      </c>
      <c r="G4" s="585"/>
      <c r="H4" s="459" t="s">
        <v>159</v>
      </c>
    </row>
    <row r="5" spans="1:8" ht="15">
      <c r="A5" s="588" t="s">
        <v>5</v>
      </c>
      <c r="B5" s="583"/>
      <c r="C5" s="583"/>
      <c r="D5" s="583"/>
      <c r="E5" s="503">
        <v>41455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7065</v>
      </c>
      <c r="D12" s="151">
        <v>7151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10900</v>
      </c>
      <c r="D13" s="151">
        <v>11117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4288</v>
      </c>
      <c r="D14" s="151">
        <v>4304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228</v>
      </c>
      <c r="D15" s="151">
        <v>291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26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23105</v>
      </c>
      <c r="D19" s="155">
        <f>SUM(D11:D18)</f>
        <v>23469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8330</v>
      </c>
      <c r="H20" s="158">
        <v>8334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85</v>
      </c>
      <c r="D24" s="151">
        <v>90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15944</v>
      </c>
      <c r="H25" s="154">
        <f>H19+H20+H21</f>
        <v>15948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85</v>
      </c>
      <c r="D27" s="155">
        <f>SUM(D23:D26)</f>
        <v>90</v>
      </c>
      <c r="E27" s="253" t="s">
        <v>83</v>
      </c>
      <c r="F27" s="242" t="s">
        <v>84</v>
      </c>
      <c r="G27" s="154">
        <f>SUM(G28:G30)</f>
        <v>-2712</v>
      </c>
      <c r="H27" s="154">
        <f>SUM(H28:H30)</f>
        <v>-2935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1478</v>
      </c>
      <c r="H28" s="152">
        <f>1256-1</f>
        <v>1255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-4190</v>
      </c>
      <c r="H29" s="316">
        <v>-4190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219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-769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-3481</v>
      </c>
      <c r="H33" s="154">
        <f>H27+H31+H32</f>
        <v>-2716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13074</v>
      </c>
      <c r="H36" s="154">
        <f>H25+H17+H33</f>
        <v>13843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3484+3615+393</f>
        <v>7492</v>
      </c>
      <c r="H43" s="152">
        <f>3634+3615+393</f>
        <v>7642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2572-848-280-282</f>
        <v>1162</v>
      </c>
      <c r="H44" s="152">
        <f>2572-848-280-282</f>
        <v>1162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32</v>
      </c>
      <c r="H48" s="152">
        <v>32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8686</v>
      </c>
      <c r="H49" s="154">
        <f>SUM(H43:H48)</f>
        <v>8836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553</v>
      </c>
      <c r="H53" s="152">
        <v>553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23190</v>
      </c>
      <c r="D55" s="155">
        <f>D19+D20+D21+D27+D32+D45+D51+D53+D54</f>
        <v>23559</v>
      </c>
      <c r="E55" s="237" t="s">
        <v>172</v>
      </c>
      <c r="F55" s="261" t="s">
        <v>173</v>
      </c>
      <c r="G55" s="154">
        <f>G49+G51+G52+G53+G54</f>
        <v>9239</v>
      </c>
      <c r="H55" s="154">
        <f>H49+H51+H52+H53+H54</f>
        <v>9389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383-9</f>
        <v>374</v>
      </c>
      <c r="D58" s="151">
        <f>551-9</f>
        <v>542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997</f>
        <v>997</v>
      </c>
      <c r="D59" s="151">
        <f>1203-76</f>
        <v>1127</v>
      </c>
      <c r="E59" s="251" t="s">
        <v>181</v>
      </c>
      <c r="F59" s="242" t="s">
        <v>182</v>
      </c>
      <c r="G59" s="152">
        <f>2102-259</f>
        <v>1843</v>
      </c>
      <c r="H59" s="152">
        <v>2102</v>
      </c>
      <c r="M59" s="157"/>
    </row>
    <row r="60" spans="1:8" ht="15">
      <c r="A60" s="235" t="s">
        <v>183</v>
      </c>
      <c r="B60" s="241" t="s">
        <v>184</v>
      </c>
      <c r="C60" s="151">
        <v>751</v>
      </c>
      <c r="D60" s="151">
        <v>684</v>
      </c>
      <c r="E60" s="237" t="s">
        <v>185</v>
      </c>
      <c r="F60" s="242" t="s">
        <v>186</v>
      </c>
      <c r="G60" s="152">
        <f>281+848</f>
        <v>1129</v>
      </c>
      <c r="H60" s="152">
        <f>280+848</f>
        <v>1128</v>
      </c>
    </row>
    <row r="61" spans="1:18" ht="15">
      <c r="A61" s="235" t="s">
        <v>187</v>
      </c>
      <c r="B61" s="244" t="s">
        <v>188</v>
      </c>
      <c r="C61" s="151">
        <v>86</v>
      </c>
      <c r="D61" s="151">
        <f>76-3</f>
        <v>73</v>
      </c>
      <c r="E61" s="243" t="s">
        <v>189</v>
      </c>
      <c r="F61" s="272" t="s">
        <v>190</v>
      </c>
      <c r="G61" s="154">
        <f>SUM(G62:G68)</f>
        <v>4011</v>
      </c>
      <c r="H61" s="154">
        <f>SUM(H62:H68)</f>
        <v>3792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129+281+81+156</f>
        <v>647</v>
      </c>
      <c r="H62" s="152">
        <f>121+281+81+174</f>
        <v>657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2208</v>
      </c>
      <c r="D64" s="155">
        <f>SUM(D58:D63)</f>
        <v>2426</v>
      </c>
      <c r="E64" s="237" t="s">
        <v>200</v>
      </c>
      <c r="F64" s="242" t="s">
        <v>201</v>
      </c>
      <c r="G64" s="152">
        <f>9837+35-3484-3615-81-5</f>
        <v>2687</v>
      </c>
      <c r="H64" s="152">
        <f>9685+49-3633-3615-81</f>
        <v>2405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153</v>
      </c>
      <c r="H66" s="152">
        <v>115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182+40+83-113</f>
        <v>192</v>
      </c>
      <c r="H67" s="152">
        <f>140+26+57</f>
        <v>223</v>
      </c>
    </row>
    <row r="68" spans="1:8" ht="15">
      <c r="A68" s="235" t="s">
        <v>211</v>
      </c>
      <c r="B68" s="241" t="s">
        <v>212</v>
      </c>
      <c r="C68" s="151">
        <f>3717+3-105</f>
        <v>3615</v>
      </c>
      <c r="D68" s="151">
        <f>3824+34-106</f>
        <v>3752</v>
      </c>
      <c r="E68" s="237" t="s">
        <v>213</v>
      </c>
      <c r="F68" s="242" t="s">
        <v>214</v>
      </c>
      <c r="G68" s="152">
        <f>56+110+96+153-32-51</f>
        <v>332</v>
      </c>
      <c r="H68" s="152">
        <f>45+144+78+125</f>
        <v>392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27+5</f>
        <v>32</v>
      </c>
      <c r="H69" s="152">
        <f>33+13</f>
        <v>46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130-130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7015</v>
      </c>
      <c r="H71" s="161">
        <f>H59+H60+H61+H69+H70</f>
        <v>7068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58+2+199+32</f>
        <v>291</v>
      </c>
      <c r="D74" s="151">
        <f>54+277+19+29</f>
        <v>379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3906</v>
      </c>
      <c r="D75" s="155">
        <f>SUM(D67:D74)</f>
        <v>4131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7015</v>
      </c>
      <c r="H79" s="162">
        <f>H71+H74+H75+H76</f>
        <v>7068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</v>
      </c>
      <c r="D88" s="151">
        <v>182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</v>
      </c>
      <c r="D91" s="155">
        <f>SUM(D87:D90)</f>
        <v>184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6138</v>
      </c>
      <c r="D93" s="155">
        <f>D64+D75+D84+D91+D92</f>
        <v>6741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29328</v>
      </c>
      <c r="D94" s="164">
        <f>D93+D55</f>
        <v>30300</v>
      </c>
      <c r="E94" s="448" t="s">
        <v>270</v>
      </c>
      <c r="F94" s="289" t="s">
        <v>271</v>
      </c>
      <c r="G94" s="165">
        <f>G36+G39+G55+G79</f>
        <v>29328</v>
      </c>
      <c r="H94" s="165">
        <f>H36+H39+H55+H79</f>
        <v>30300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80">
        <v>41486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G12" sqref="G1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2" t="str">
        <f>'справка №1-БАЛАНС'!E3</f>
        <v>"Алфа Ууд България"АД</v>
      </c>
      <c r="C2" s="592"/>
      <c r="D2" s="592"/>
      <c r="E2" s="592"/>
      <c r="F2" s="594" t="s">
        <v>2</v>
      </c>
      <c r="G2" s="594"/>
      <c r="H2" s="524">
        <f>'справка №1-БАЛАНС'!H3</f>
        <v>103036725</v>
      </c>
    </row>
    <row r="3" spans="1:8" ht="15">
      <c r="A3" s="465" t="s">
        <v>275</v>
      </c>
      <c r="B3" s="592" t="str">
        <f>'справка №1-БАЛАНС'!E4</f>
        <v>неконсолидиран</v>
      </c>
      <c r="C3" s="592"/>
      <c r="D3" s="592"/>
      <c r="E3" s="592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3">
        <f>'справка №1-БАЛАНС'!E5</f>
        <v>41455</v>
      </c>
      <c r="C4" s="593"/>
      <c r="D4" s="593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499</v>
      </c>
      <c r="D9" s="46">
        <v>710</v>
      </c>
      <c r="E9" s="298" t="s">
        <v>285</v>
      </c>
      <c r="F9" s="547" t="s">
        <v>286</v>
      </c>
      <c r="G9" s="548">
        <v>812</v>
      </c>
      <c r="H9" s="548">
        <v>1119</v>
      </c>
    </row>
    <row r="10" spans="1:8" ht="12">
      <c r="A10" s="298" t="s">
        <v>287</v>
      </c>
      <c r="B10" s="299" t="s">
        <v>288</v>
      </c>
      <c r="C10" s="46">
        <f>322-16</f>
        <v>306</v>
      </c>
      <c r="D10" s="46">
        <v>345</v>
      </c>
      <c r="E10" s="298" t="s">
        <v>289</v>
      </c>
      <c r="F10" s="547" t="s">
        <v>290</v>
      </c>
      <c r="G10" s="548">
        <v>361</v>
      </c>
      <c r="H10" s="548">
        <v>5286</v>
      </c>
    </row>
    <row r="11" spans="1:8" ht="12">
      <c r="A11" s="298" t="s">
        <v>291</v>
      </c>
      <c r="B11" s="299" t="s">
        <v>292</v>
      </c>
      <c r="C11" s="46">
        <v>366</v>
      </c>
      <c r="D11" s="46">
        <v>617</v>
      </c>
      <c r="E11" s="300" t="s">
        <v>293</v>
      </c>
      <c r="F11" s="547" t="s">
        <v>294</v>
      </c>
      <c r="G11" s="548">
        <v>291</v>
      </c>
      <c r="H11" s="548">
        <v>307</v>
      </c>
    </row>
    <row r="12" spans="1:8" ht="12">
      <c r="A12" s="298" t="s">
        <v>295</v>
      </c>
      <c r="B12" s="299" t="s">
        <v>296</v>
      </c>
      <c r="C12" s="46">
        <v>376</v>
      </c>
      <c r="D12" s="46">
        <v>434</v>
      </c>
      <c r="E12" s="300" t="s">
        <v>78</v>
      </c>
      <c r="F12" s="547" t="s">
        <v>297</v>
      </c>
      <c r="G12" s="548">
        <f>16+13-16-29+69</f>
        <v>53</v>
      </c>
      <c r="H12" s="548">
        <v>179</v>
      </c>
    </row>
    <row r="13" spans="1:18" ht="12">
      <c r="A13" s="298" t="s">
        <v>298</v>
      </c>
      <c r="B13" s="299" t="s">
        <v>299</v>
      </c>
      <c r="C13" s="46">
        <v>66</v>
      </c>
      <c r="D13" s="46">
        <v>75</v>
      </c>
      <c r="E13" s="301" t="s">
        <v>51</v>
      </c>
      <c r="F13" s="549" t="s">
        <v>300</v>
      </c>
      <c r="G13" s="546">
        <f>SUM(G9:G12)</f>
        <v>1517</v>
      </c>
      <c r="H13" s="546">
        <f>SUM(H9:H12)</f>
        <v>6891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f>363</f>
        <v>363</v>
      </c>
      <c r="D14" s="46">
        <v>2727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117-1</f>
        <v>116</v>
      </c>
      <c r="D15" s="47">
        <v>216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f>54+16</f>
        <v>70</v>
      </c>
      <c r="D16" s="47">
        <v>117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2162</v>
      </c>
      <c r="D19" s="49">
        <f>SUM(D9:D15)+D16</f>
        <v>5241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121</v>
      </c>
      <c r="D22" s="46">
        <v>273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1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3</v>
      </c>
      <c r="D25" s="46">
        <v>10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124</v>
      </c>
      <c r="D26" s="49">
        <f>SUM(D22:D25)</f>
        <v>284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2286</v>
      </c>
      <c r="D28" s="50">
        <f>D26+D19</f>
        <v>5525</v>
      </c>
      <c r="E28" s="127" t="s">
        <v>339</v>
      </c>
      <c r="F28" s="552" t="s">
        <v>340</v>
      </c>
      <c r="G28" s="546">
        <f>G13+G15+G24</f>
        <v>1517</v>
      </c>
      <c r="H28" s="546">
        <f>H13+H15+H24</f>
        <v>6891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1366</v>
      </c>
      <c r="E30" s="127" t="s">
        <v>343</v>
      </c>
      <c r="F30" s="552" t="s">
        <v>344</v>
      </c>
      <c r="G30" s="53">
        <f>IF((C28-G28)&gt;0,C28-G28,0)</f>
        <v>769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2286</v>
      </c>
      <c r="D33" s="49">
        <f>D28+D31+D32</f>
        <v>5525</v>
      </c>
      <c r="E33" s="127" t="s">
        <v>353</v>
      </c>
      <c r="F33" s="552" t="s">
        <v>354</v>
      </c>
      <c r="G33" s="53">
        <f>G32+G31+G28</f>
        <v>1517</v>
      </c>
      <c r="H33" s="53">
        <f>H32+H31+H28</f>
        <v>6891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1366</v>
      </c>
      <c r="E34" s="128" t="s">
        <v>357</v>
      </c>
      <c r="F34" s="552" t="s">
        <v>358</v>
      </c>
      <c r="G34" s="546">
        <f>IF((C33-G33)&gt;0,C33-G33,0)</f>
        <v>769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1366</v>
      </c>
      <c r="E39" s="313" t="s">
        <v>369</v>
      </c>
      <c r="F39" s="556" t="s">
        <v>370</v>
      </c>
      <c r="G39" s="557">
        <f>IF(G34&gt;0,IF(C35+G34&lt;0,0,C35+G34),IF(C34-C35&lt;0,C35-C34,0))</f>
        <v>769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1366</v>
      </c>
      <c r="E41" s="127" t="s">
        <v>376</v>
      </c>
      <c r="F41" s="569" t="s">
        <v>377</v>
      </c>
      <c r="G41" s="52">
        <f>IF(C39=0,IF(G39-G40&gt;0,G39-G40+C40,0),IF(C39-C40&lt;0,C40-C39+G40,0))</f>
        <v>769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2286</v>
      </c>
      <c r="D42" s="53">
        <f>D33+D35+D39</f>
        <v>6891</v>
      </c>
      <c r="E42" s="128" t="s">
        <v>380</v>
      </c>
      <c r="F42" s="129" t="s">
        <v>381</v>
      </c>
      <c r="G42" s="53">
        <f>G39+G33</f>
        <v>2286</v>
      </c>
      <c r="H42" s="53">
        <f>H39+H33</f>
        <v>6891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5" t="s">
        <v>863</v>
      </c>
      <c r="B45" s="595"/>
      <c r="C45" s="595"/>
      <c r="D45" s="595"/>
      <c r="E45" s="595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579">
        <v>41486</v>
      </c>
      <c r="C48" s="427" t="s">
        <v>382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91"/>
      <c r="E50" s="591"/>
      <c r="F50" s="591"/>
      <c r="G50" s="591"/>
      <c r="H50" s="591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D39" sqref="D3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41455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1243</v>
      </c>
      <c r="D10" s="54">
        <v>3292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-533</v>
      </c>
      <c r="D11" s="54">
        <v>-1727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-472</v>
      </c>
      <c r="D13" s="54">
        <v>-563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-43</v>
      </c>
      <c r="D14" s="54">
        <v>-392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27+11</f>
        <v>38</v>
      </c>
      <c r="D19" s="54">
        <v>-22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233</v>
      </c>
      <c r="D20" s="55">
        <f>SUM(D10:D19)</f>
        <v>587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-12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-259</v>
      </c>
      <c r="D37" s="54">
        <v>-118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-134</v>
      </c>
      <c r="D39" s="54">
        <v>-303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-393</v>
      </c>
      <c r="D42" s="55">
        <f>SUM(D34:D41)</f>
        <v>-421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-160</v>
      </c>
      <c r="D43" s="55">
        <f>D42+D32+D20</f>
        <v>154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184</v>
      </c>
      <c r="D44" s="132">
        <v>204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</v>
      </c>
      <c r="D45" s="55">
        <f>D44+D43</f>
        <v>358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24</v>
      </c>
      <c r="D46" s="56">
        <v>358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</v>
      </c>
      <c r="D47" s="56">
        <v>170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81">
        <v>41486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B38" sqref="B38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9" t="str">
        <f>'справка №1-БАЛАНС'!E3</f>
        <v>"Алфа Ууд България"АД</v>
      </c>
      <c r="C3" s="599"/>
      <c r="D3" s="599"/>
      <c r="E3" s="599"/>
      <c r="F3" s="599"/>
      <c r="G3" s="599"/>
      <c r="H3" s="599"/>
      <c r="I3" s="599"/>
      <c r="J3" s="474"/>
      <c r="K3" s="601" t="s">
        <v>2</v>
      </c>
      <c r="L3" s="601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3">
        <f>'справка №1-БАЛАНС'!E5</f>
        <v>41455</v>
      </c>
      <c r="C5" s="603"/>
      <c r="D5" s="603"/>
      <c r="E5" s="60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8334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1474</v>
      </c>
      <c r="J11" s="58">
        <f>'справка №1-БАЛАНС'!H29+'справка №1-БАЛАНС'!H32</f>
        <v>-4190</v>
      </c>
      <c r="K11" s="60"/>
      <c r="L11" s="344">
        <f>SUM(C11:K11)</f>
        <v>13843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8334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1474</v>
      </c>
      <c r="J15" s="61">
        <f t="shared" si="2"/>
        <v>-4190</v>
      </c>
      <c r="K15" s="61">
        <f t="shared" si="2"/>
        <v>0</v>
      </c>
      <c r="L15" s="344">
        <f t="shared" si="1"/>
        <v>13843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-769</v>
      </c>
      <c r="K16" s="60"/>
      <c r="L16" s="344">
        <f t="shared" si="1"/>
        <v>-769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-4</v>
      </c>
      <c r="F28" s="60"/>
      <c r="G28" s="60"/>
      <c r="H28" s="60"/>
      <c r="I28" s="60">
        <v>4</v>
      </c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8330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1478</v>
      </c>
      <c r="J29" s="59">
        <f t="shared" si="6"/>
        <v>-4959</v>
      </c>
      <c r="K29" s="59">
        <f t="shared" si="6"/>
        <v>0</v>
      </c>
      <c r="L29" s="344">
        <f t="shared" si="1"/>
        <v>13074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8330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1478</v>
      </c>
      <c r="J32" s="59">
        <f t="shared" si="7"/>
        <v>-4959</v>
      </c>
      <c r="K32" s="59">
        <f t="shared" si="7"/>
        <v>0</v>
      </c>
      <c r="L32" s="344">
        <f t="shared" si="1"/>
        <v>13074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864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82">
        <v>41486</v>
      </c>
      <c r="B38" s="19"/>
      <c r="C38" s="15"/>
      <c r="D38" s="598" t="s">
        <v>522</v>
      </c>
      <c r="E38" s="598"/>
      <c r="F38" s="598"/>
      <c r="G38" s="598"/>
      <c r="H38" s="598"/>
      <c r="I38" s="598"/>
      <c r="J38" s="15" t="s">
        <v>859</v>
      </c>
      <c r="K38" s="15"/>
      <c r="L38" s="598"/>
      <c r="M38" s="598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C44" sqref="C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6" t="s">
        <v>384</v>
      </c>
      <c r="B2" s="617"/>
      <c r="C2" s="618" t="str">
        <f>'справка №1-БАЛАНС'!E3</f>
        <v>"Алфа Ууд България"АД</v>
      </c>
      <c r="D2" s="618"/>
      <c r="E2" s="618"/>
      <c r="F2" s="618"/>
      <c r="G2" s="618"/>
      <c r="H2" s="61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6" t="s">
        <v>5</v>
      </c>
      <c r="B3" s="617"/>
      <c r="C3" s="619">
        <f>'справка №1-БАЛАНС'!E5</f>
        <v>41455</v>
      </c>
      <c r="D3" s="619"/>
      <c r="E3" s="619"/>
      <c r="F3" s="483"/>
      <c r="G3" s="483"/>
      <c r="H3" s="483"/>
      <c r="I3" s="483"/>
      <c r="J3" s="483"/>
      <c r="K3" s="483"/>
      <c r="L3" s="483"/>
      <c r="M3" s="608" t="s">
        <v>4</v>
      </c>
      <c r="N3" s="60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9" t="s">
        <v>464</v>
      </c>
      <c r="B5" s="610"/>
      <c r="C5" s="61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61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8891</v>
      </c>
      <c r="E10" s="189"/>
      <c r="F10" s="189"/>
      <c r="G10" s="74">
        <f aca="true" t="shared" si="2" ref="G10:G39">D10+E10-F10</f>
        <v>8891</v>
      </c>
      <c r="H10" s="65"/>
      <c r="I10" s="65"/>
      <c r="J10" s="74">
        <f aca="true" t="shared" si="3" ref="J10:J39">G10+H10-I10</f>
        <v>8891</v>
      </c>
      <c r="K10" s="65">
        <v>1739</v>
      </c>
      <c r="L10" s="65">
        <v>87</v>
      </c>
      <c r="M10" s="65"/>
      <c r="N10" s="74">
        <f aca="true" t="shared" si="4" ref="N10:N39">K10+L10-M10</f>
        <v>1826</v>
      </c>
      <c r="O10" s="65"/>
      <c r="P10" s="65"/>
      <c r="Q10" s="74">
        <f t="shared" si="0"/>
        <v>1826</v>
      </c>
      <c r="R10" s="74">
        <f t="shared" si="1"/>
        <v>7065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18730</v>
      </c>
      <c r="E11" s="189"/>
      <c r="F11" s="189">
        <v>5</v>
      </c>
      <c r="G11" s="74">
        <f t="shared" si="2"/>
        <v>18725</v>
      </c>
      <c r="H11" s="65"/>
      <c r="I11" s="65"/>
      <c r="J11" s="74">
        <f t="shared" si="3"/>
        <v>18725</v>
      </c>
      <c r="K11" s="65">
        <v>7613</v>
      </c>
      <c r="L11" s="65">
        <v>217</v>
      </c>
      <c r="M11" s="65">
        <v>5</v>
      </c>
      <c r="N11" s="74">
        <f t="shared" si="4"/>
        <v>7825</v>
      </c>
      <c r="O11" s="65"/>
      <c r="P11" s="65"/>
      <c r="Q11" s="74">
        <f t="shared" si="0"/>
        <v>7825</v>
      </c>
      <c r="R11" s="74">
        <f t="shared" si="1"/>
        <v>10900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/>
      <c r="F12" s="189"/>
      <c r="G12" s="74">
        <f t="shared" si="2"/>
        <v>6711</v>
      </c>
      <c r="H12" s="65"/>
      <c r="I12" s="65"/>
      <c r="J12" s="74">
        <f t="shared" si="3"/>
        <v>6711</v>
      </c>
      <c r="K12" s="65">
        <v>2407</v>
      </c>
      <c r="L12" s="65">
        <v>16</v>
      </c>
      <c r="M12" s="65"/>
      <c r="N12" s="74">
        <f t="shared" si="4"/>
        <v>2423</v>
      </c>
      <c r="O12" s="65"/>
      <c r="P12" s="65"/>
      <c r="Q12" s="74">
        <f t="shared" si="0"/>
        <v>2423</v>
      </c>
      <c r="R12" s="74">
        <f t="shared" si="1"/>
        <v>4288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909</v>
      </c>
      <c r="E13" s="189"/>
      <c r="F13" s="189">
        <v>35</v>
      </c>
      <c r="G13" s="74">
        <f t="shared" si="2"/>
        <v>874</v>
      </c>
      <c r="H13" s="65"/>
      <c r="I13" s="65"/>
      <c r="J13" s="74">
        <f t="shared" si="3"/>
        <v>874</v>
      </c>
      <c r="K13" s="65">
        <v>618</v>
      </c>
      <c r="L13" s="65">
        <v>34</v>
      </c>
      <c r="M13" s="65">
        <v>6</v>
      </c>
      <c r="N13" s="74">
        <f t="shared" si="4"/>
        <v>646</v>
      </c>
      <c r="O13" s="65"/>
      <c r="P13" s="65"/>
      <c r="Q13" s="74">
        <f t="shared" si="0"/>
        <v>646</v>
      </c>
      <c r="R13" s="74">
        <f t="shared" si="1"/>
        <v>228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26</v>
      </c>
      <c r="E15" s="455">
        <v>26</v>
      </c>
      <c r="F15" s="455"/>
      <c r="G15" s="74">
        <f t="shared" si="2"/>
        <v>52</v>
      </c>
      <c r="H15" s="456"/>
      <c r="I15" s="456"/>
      <c r="J15" s="74">
        <f t="shared" si="3"/>
        <v>52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52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402</v>
      </c>
      <c r="E16" s="189"/>
      <c r="F16" s="189">
        <v>46</v>
      </c>
      <c r="G16" s="74">
        <f t="shared" si="2"/>
        <v>356</v>
      </c>
      <c r="H16" s="65"/>
      <c r="I16" s="65"/>
      <c r="J16" s="74">
        <f t="shared" si="3"/>
        <v>356</v>
      </c>
      <c r="K16" s="65">
        <v>365</v>
      </c>
      <c r="L16" s="65">
        <v>7</v>
      </c>
      <c r="M16" s="65">
        <v>46</v>
      </c>
      <c r="N16" s="74">
        <f t="shared" si="4"/>
        <v>326</v>
      </c>
      <c r="O16" s="65"/>
      <c r="P16" s="65"/>
      <c r="Q16" s="74">
        <f aca="true" t="shared" si="5" ref="Q16:Q25">N16+O16-P16</f>
        <v>326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36211</v>
      </c>
      <c r="E17" s="194">
        <f>SUM(E9:E16)</f>
        <v>26</v>
      </c>
      <c r="F17" s="194">
        <f>SUM(F9:F16)</f>
        <v>86</v>
      </c>
      <c r="G17" s="74">
        <f t="shared" si="2"/>
        <v>36151</v>
      </c>
      <c r="H17" s="75">
        <f>SUM(H9:H16)</f>
        <v>0</v>
      </c>
      <c r="I17" s="75">
        <f>SUM(I9:I16)</f>
        <v>0</v>
      </c>
      <c r="J17" s="74">
        <f t="shared" si="3"/>
        <v>36151</v>
      </c>
      <c r="K17" s="75">
        <f>SUM(K9:K16)</f>
        <v>12742</v>
      </c>
      <c r="L17" s="75">
        <f>SUM(L9:L16)</f>
        <v>361</v>
      </c>
      <c r="M17" s="75">
        <f>SUM(M9:M16)</f>
        <v>57</v>
      </c>
      <c r="N17" s="74">
        <f t="shared" si="4"/>
        <v>13046</v>
      </c>
      <c r="O17" s="75">
        <f>SUM(O9:O16)</f>
        <v>0</v>
      </c>
      <c r="P17" s="75">
        <f>SUM(P9:P16)</f>
        <v>0</v>
      </c>
      <c r="Q17" s="74">
        <f t="shared" si="5"/>
        <v>13046</v>
      </c>
      <c r="R17" s="74">
        <f t="shared" si="6"/>
        <v>23105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0</v>
      </c>
      <c r="G22" s="74">
        <f t="shared" si="2"/>
        <v>161</v>
      </c>
      <c r="H22" s="65"/>
      <c r="I22" s="65"/>
      <c r="J22" s="74">
        <f t="shared" si="3"/>
        <v>161</v>
      </c>
      <c r="K22" s="65">
        <v>71</v>
      </c>
      <c r="L22" s="65">
        <v>5</v>
      </c>
      <c r="M22" s="65"/>
      <c r="N22" s="74">
        <f t="shared" si="4"/>
        <v>76</v>
      </c>
      <c r="O22" s="65"/>
      <c r="P22" s="65"/>
      <c r="Q22" s="74">
        <f t="shared" si="5"/>
        <v>76</v>
      </c>
      <c r="R22" s="74">
        <f t="shared" si="6"/>
        <v>85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71</v>
      </c>
      <c r="L25" s="66">
        <f t="shared" si="7"/>
        <v>5</v>
      </c>
      <c r="M25" s="66">
        <f t="shared" si="7"/>
        <v>0</v>
      </c>
      <c r="N25" s="67">
        <f t="shared" si="4"/>
        <v>76</v>
      </c>
      <c r="O25" s="66">
        <f t="shared" si="7"/>
        <v>0</v>
      </c>
      <c r="P25" s="66">
        <f t="shared" si="7"/>
        <v>0</v>
      </c>
      <c r="Q25" s="67">
        <f t="shared" si="5"/>
        <v>76</v>
      </c>
      <c r="R25" s="67">
        <f t="shared" si="6"/>
        <v>85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36372</v>
      </c>
      <c r="E40" s="437">
        <f>E17+E18+E19+E25+E38+E39</f>
        <v>26</v>
      </c>
      <c r="F40" s="437">
        <f aca="true" t="shared" si="13" ref="F40:R40">F17+F18+F19+F25+F38+F39</f>
        <v>86</v>
      </c>
      <c r="G40" s="437">
        <f t="shared" si="13"/>
        <v>36312</v>
      </c>
      <c r="H40" s="437">
        <f t="shared" si="13"/>
        <v>0</v>
      </c>
      <c r="I40" s="437">
        <f t="shared" si="13"/>
        <v>0</v>
      </c>
      <c r="J40" s="437">
        <f t="shared" si="13"/>
        <v>36312</v>
      </c>
      <c r="K40" s="437">
        <f t="shared" si="13"/>
        <v>12813</v>
      </c>
      <c r="L40" s="437">
        <f t="shared" si="13"/>
        <v>366</v>
      </c>
      <c r="M40" s="437">
        <f t="shared" si="13"/>
        <v>57</v>
      </c>
      <c r="N40" s="437">
        <f t="shared" si="13"/>
        <v>13122</v>
      </c>
      <c r="O40" s="437">
        <f t="shared" si="13"/>
        <v>0</v>
      </c>
      <c r="P40" s="437">
        <f t="shared" si="13"/>
        <v>0</v>
      </c>
      <c r="Q40" s="437">
        <f t="shared" si="13"/>
        <v>13122</v>
      </c>
      <c r="R40" s="437">
        <f t="shared" si="13"/>
        <v>23190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5"/>
      <c r="L44" s="615"/>
      <c r="M44" s="615"/>
      <c r="N44" s="615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7" t="str">
        <f>'справка №1-БАЛАНС'!E3</f>
        <v>"Алфа Ууд България"АД</v>
      </c>
      <c r="C3" s="628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4">
        <f>'справка №1-БАЛАНС'!E5</f>
        <v>41455</v>
      </c>
      <c r="C4" s="625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3615</v>
      </c>
      <c r="D28" s="108"/>
      <c r="E28" s="120">
        <f t="shared" si="0"/>
        <v>3615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291</v>
      </c>
      <c r="D38" s="105">
        <f>SUM(D39:D42)</f>
        <v>357</v>
      </c>
      <c r="E38" s="121">
        <f>SUM(E39:E42)</f>
        <v>-66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291</v>
      </c>
      <c r="D42" s="108">
        <v>357</v>
      </c>
      <c r="E42" s="120">
        <f t="shared" si="0"/>
        <v>-66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3906</v>
      </c>
      <c r="D43" s="104">
        <f>D24+D28+D29+D31+D30+D32+D33+D38</f>
        <v>357</v>
      </c>
      <c r="E43" s="118">
        <f>E24+E28+E29+E31+E30+E32+E33+E38</f>
        <v>3549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3906</v>
      </c>
      <c r="D44" s="103">
        <f>D43+D21+D19+D9</f>
        <v>357</v>
      </c>
      <c r="E44" s="118">
        <f>E43+E21+E19+E9</f>
        <v>3549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7492</v>
      </c>
      <c r="D52" s="103">
        <f>SUM(D53:D55)</f>
        <v>0</v>
      </c>
      <c r="E52" s="119">
        <f>C52-D52</f>
        <v>7492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7492</v>
      </c>
      <c r="D54" s="108">
        <v>0</v>
      </c>
      <c r="E54" s="119">
        <f aca="true" t="shared" si="1" ref="E54:E95">C54-D54</f>
        <v>7492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1162</v>
      </c>
      <c r="D56" s="103">
        <f>D57+D59</f>
        <v>0</v>
      </c>
      <c r="E56" s="119">
        <f t="shared" si="1"/>
        <v>1162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1162</v>
      </c>
      <c r="D57" s="108"/>
      <c r="E57" s="119">
        <f t="shared" si="1"/>
        <v>1162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32</v>
      </c>
      <c r="D64" s="108"/>
      <c r="E64" s="119">
        <f t="shared" si="1"/>
        <v>32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8686</v>
      </c>
      <c r="D66" s="103">
        <f>D52+D56+D61+D62+D63+D64</f>
        <v>0</v>
      </c>
      <c r="E66" s="119">
        <f t="shared" si="1"/>
        <v>8686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553</v>
      </c>
      <c r="D68" s="108">
        <v>553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647</v>
      </c>
      <c r="D71" s="105">
        <f>SUM(D72:D74)</f>
        <v>647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81</v>
      </c>
      <c r="D72" s="108">
        <v>81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566</v>
      </c>
      <c r="D74" s="108">
        <v>566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2972</v>
      </c>
      <c r="D75" s="103">
        <f>D76+D78</f>
        <v>2972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1129+1843</f>
        <v>2972</v>
      </c>
      <c r="D76" s="108">
        <f>1129+1843</f>
        <v>2972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>
        <v>280</v>
      </c>
      <c r="D77" s="109">
        <v>280</v>
      </c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3364</v>
      </c>
      <c r="D85" s="104">
        <f>SUM(D86:D90)+D94</f>
        <v>3364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2687</v>
      </c>
      <c r="D87" s="108">
        <v>2687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153</v>
      </c>
      <c r="D89" s="108">
        <v>153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332</v>
      </c>
      <c r="D90" s="103">
        <f>SUM(D91:D93)</f>
        <v>332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110</v>
      </c>
      <c r="D92" s="108">
        <v>110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222</v>
      </c>
      <c r="D93" s="108">
        <v>222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192</v>
      </c>
      <c r="D94" s="108">
        <v>192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32</v>
      </c>
      <c r="D95" s="108">
        <v>32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7015</v>
      </c>
      <c r="D96" s="104">
        <f>D85+D80+D75+D71+D95</f>
        <v>7015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16254</v>
      </c>
      <c r="D97" s="104">
        <f>D96+D68+D66</f>
        <v>7568</v>
      </c>
      <c r="E97" s="104">
        <f>E96+E68+E66</f>
        <v>8686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>
        <v>41486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50" sqref="I50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9" t="str">
        <f>'справка №1-БАЛАНС'!E3</f>
        <v>"Алфа Ууд България"АД</v>
      </c>
      <c r="C4" s="629"/>
      <c r="D4" s="629"/>
      <c r="E4" s="629"/>
      <c r="F4" s="629"/>
      <c r="G4" s="635" t="s">
        <v>2</v>
      </c>
      <c r="H4" s="635"/>
      <c r="I4" s="498">
        <f>'справка №1-БАЛАНС'!H3</f>
        <v>103036725</v>
      </c>
    </row>
    <row r="5" spans="1:9" ht="15">
      <c r="A5" s="499" t="s">
        <v>5</v>
      </c>
      <c r="B5" s="630">
        <f>'справка №1-БАЛАНС'!E5</f>
        <v>41455</v>
      </c>
      <c r="C5" s="630"/>
      <c r="D5" s="630"/>
      <c r="E5" s="630"/>
      <c r="F5" s="630"/>
      <c r="G5" s="633" t="s">
        <v>4</v>
      </c>
      <c r="H5" s="634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32"/>
      <c r="C30" s="632"/>
      <c r="D30" s="457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0">
      <selection activeCell="B34" sqref="B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151" sqref="B151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/>
      <c r="C5" s="636"/>
      <c r="D5" s="636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7">
        <f>'справка №1-БАЛАНС'!E5</f>
        <v>41455</v>
      </c>
      <c r="C6" s="637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8" t="s">
        <v>850</v>
      </c>
      <c r="D151" s="638"/>
      <c r="E151" s="638"/>
      <c r="F151" s="638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8" t="s">
        <v>858</v>
      </c>
      <c r="D153" s="638"/>
      <c r="E153" s="638"/>
      <c r="F153" s="638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2013-01-29T12:49:07Z</cp:lastPrinted>
  <dcterms:created xsi:type="dcterms:W3CDTF">2000-06-29T12:02:40Z</dcterms:created>
  <dcterms:modified xsi:type="dcterms:W3CDTF">2013-08-07T18:31:47Z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