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<sst xmlns="http://schemas.openxmlformats.org/spreadsheetml/2006/main" count="1051" uniqueCount="868">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</sst>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14" fontId="10" fillId="0" borderId="0" xfId="25" applyNumberFormat="1" applyFont="1" applyProtection="1">
      <alignment/>
      <protection locked="0"/>
    </xf>
    <xf numFmtId="14" fontId="10" fillId="0" borderId="0" xfId="23" applyNumberFormat="1" applyFont="1" applyAlignment="1" applyProtection="1">
      <alignment vertical="center" wrapText="1"/>
      <protection locked="0"/>
    </xf>
    <xf numFmtId="14" fontId="4" fillId="0" borderId="0" xfId="24" applyNumberFormat="1" applyFont="1" applyProtection="1">
      <alignment/>
      <protection locked="0"/>
    </xf>
    <xf numFmtId="0" fontId="5" fillId="0" borderId="0" xfId="24" applyNumberFormat="1" applyFont="1" applyAlignment="1" applyProtection="1">
      <alignment horizontal="center" vertical="center" wrapText="1"/>
      <protection locked="0"/>
    </xf>
    <xf numFmtId="0" fontId="5" fillId="0" borderId="0" xfId="25" applyFont="1" applyBorder="1" applyAlignment="1">
      <alignment horizontal="right" vertical="justify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7\Quarterly%20reporting\Q4\Lead%20schedules%20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6\KFN\Q4\Annual%20Statements\GFO_KFN_12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1"/>
      <sheetName val="602"/>
      <sheetName val="TB before DT draft"/>
      <sheetName val="BS 04 NAS EY"/>
      <sheetName val="IS 04 NAS"/>
      <sheetName val="Cash"/>
      <sheetName val="Adjustments"/>
      <sheetName val="TFA"/>
      <sheetName val="IFA"/>
      <sheetName val="Def Exp"/>
      <sheetName val="Loans"/>
      <sheetName val="Related party Receivables"/>
      <sheetName val="Trade receivables"/>
      <sheetName val="Other recevables"/>
      <sheetName val="Equity"/>
      <sheetName val="Funding"/>
      <sheetName val="LT creditors"/>
      <sheetName val="ST loans&amp;creditors"/>
      <sheetName val="Op exp"/>
      <sheetName val="Op income"/>
      <sheetName val="Financecost"/>
    </sheetNames>
    <sheetDataSet>
      <sheetData sheetId="14">
        <row r="18">
          <cell r="D18">
            <v>160764.08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4">
        <row r="21">
          <cell r="G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85" zoomScaleNormal="85" workbookViewId="0" topLeftCell="A67">
      <selection activeCell="E101" sqref="E101"/>
    </sheetView>
  </sheetViews>
  <sheetFormatPr defaultColWidth="9.00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39903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25000</v>
      </c>
      <c r="H11" s="146">
        <v>25000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73</v>
      </c>
      <c r="D13" s="145">
        <v>101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>
        <f>+'справка №5'!R13</f>
        <v>7</v>
      </c>
      <c r="D15" s="145">
        <v>9</v>
      </c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242</v>
      </c>
      <c r="D16" s="145">
        <v>254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25000</v>
      </c>
      <c r="H17" s="148">
        <f>H11+H14+H15+H16</f>
        <v>25000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322</v>
      </c>
      <c r="D19" s="149">
        <f>SUM(D11:D18)</f>
        <v>364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628</v>
      </c>
      <c r="H21" s="150">
        <f>SUM(H22:H24)</f>
        <v>628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628</v>
      </c>
      <c r="H22" s="146">
        <v>628</v>
      </c>
    </row>
    <row r="23" spans="1:13" ht="15">
      <c r="A23" s="229" t="s">
        <v>65</v>
      </c>
      <c r="B23" s="235" t="s">
        <v>66</v>
      </c>
      <c r="C23" s="145">
        <f>+'справка №5'!R21</f>
        <v>12</v>
      </c>
      <c r="D23" s="145">
        <v>13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88</v>
      </c>
      <c r="D24" s="145">
        <v>130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628</v>
      </c>
      <c r="H25" s="148">
        <f>H19+H20+H21</f>
        <v>628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185</v>
      </c>
      <c r="D26" s="145">
        <v>195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285</v>
      </c>
      <c r="D27" s="149">
        <f>SUM(D23:D26)</f>
        <v>338</v>
      </c>
      <c r="E27" s="247" t="s">
        <v>82</v>
      </c>
      <c r="F27" s="236" t="s">
        <v>83</v>
      </c>
      <c r="G27" s="148">
        <f>SUM(G28:G30)</f>
        <v>1074</v>
      </c>
      <c r="H27" s="148">
        <f>SUM(H28:H30)</f>
        <v>160.76407999999998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>
        <v>1074</v>
      </c>
      <c r="H28" s="146">
        <f>+'[1]Equity'!$D$18/1000</f>
        <v>160.76407999999998</v>
      </c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/>
      <c r="H29" s="310"/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199</v>
      </c>
      <c r="H31" s="146">
        <v>913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/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1273</v>
      </c>
      <c r="H33" s="148">
        <f>H27+H31+H32</f>
        <v>1073.76408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26901</v>
      </c>
      <c r="H36" s="148">
        <f>H25+H17+H33</f>
        <v>26701.76408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17447</v>
      </c>
      <c r="H43" s="146">
        <v>23645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48570</v>
      </c>
      <c r="H44" s="146">
        <v>50888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26819</v>
      </c>
      <c r="H47" s="146">
        <v>26770</v>
      </c>
      <c r="M47" s="151"/>
    </row>
    <row r="48" spans="1:8" ht="15">
      <c r="A48" s="229" t="s">
        <v>146</v>
      </c>
      <c r="B48" s="238" t="s">
        <v>147</v>
      </c>
      <c r="C48" s="145">
        <v>21018</v>
      </c>
      <c r="D48" s="145">
        <v>24087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92836</v>
      </c>
      <c r="H49" s="148">
        <f>SUM(H43:H48)</f>
        <v>101303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21018</v>
      </c>
      <c r="D51" s="149">
        <f>SUM(D47:D50)</f>
        <v>24087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768</v>
      </c>
      <c r="D53" s="145">
        <v>790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49</v>
      </c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22442</v>
      </c>
      <c r="D55" s="149">
        <f>D19+D20+D21+D27+D32+D45+D51+D53+D54</f>
        <v>25579</v>
      </c>
      <c r="E55" s="231" t="s">
        <v>171</v>
      </c>
      <c r="F55" s="255" t="s">
        <v>172</v>
      </c>
      <c r="G55" s="148">
        <f>G49+G51+G52+G53+G54</f>
        <v>92836</v>
      </c>
      <c r="H55" s="148">
        <f>H49+H51+H52+H53+H54</f>
        <v>101303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28330</v>
      </c>
      <c r="H59" s="146">
        <v>28195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14436</v>
      </c>
      <c r="H60" s="146">
        <v>13705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5583</v>
      </c>
      <c r="H61" s="148">
        <f>SUM(H62:H68)</f>
        <v>6569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f>3929+139</f>
        <v>4068</v>
      </c>
      <c r="H62" s="146">
        <v>4904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368</v>
      </c>
      <c r="H64" s="146">
        <v>432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/>
      <c r="H65" s="146"/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852</v>
      </c>
      <c r="H66" s="146">
        <v>886</v>
      </c>
    </row>
    <row r="67" spans="1:8" ht="15">
      <c r="A67" s="229" t="s">
        <v>206</v>
      </c>
      <c r="B67" s="235" t="s">
        <v>207</v>
      </c>
      <c r="C67" s="145">
        <f>195+695</f>
        <v>890</v>
      </c>
      <c r="D67" s="145">
        <f>186+197</f>
        <v>383</v>
      </c>
      <c r="E67" s="231" t="s">
        <v>208</v>
      </c>
      <c r="F67" s="236" t="s">
        <v>209</v>
      </c>
      <c r="G67" s="146">
        <v>218</v>
      </c>
      <c r="H67" s="146">
        <v>250</v>
      </c>
    </row>
    <row r="68" spans="1:8" ht="15">
      <c r="A68" s="229" t="s">
        <v>210</v>
      </c>
      <c r="B68" s="235" t="s">
        <v>211</v>
      </c>
      <c r="C68" s="145">
        <v>212</v>
      </c>
      <c r="D68" s="145">
        <v>1426</v>
      </c>
      <c r="E68" s="231" t="s">
        <v>212</v>
      </c>
      <c r="F68" s="236" t="s">
        <v>213</v>
      </c>
      <c r="G68" s="146">
        <v>77</v>
      </c>
      <c r="H68" s="146">
        <v>97</v>
      </c>
    </row>
    <row r="69" spans="1:8" ht="15">
      <c r="A69" s="229" t="s">
        <v>214</v>
      </c>
      <c r="B69" s="235" t="s">
        <v>215</v>
      </c>
      <c r="C69" s="145">
        <v>287</v>
      </c>
      <c r="D69" s="145">
        <v>888</v>
      </c>
      <c r="E69" s="245" t="s">
        <v>77</v>
      </c>
      <c r="F69" s="236" t="s">
        <v>216</v>
      </c>
      <c r="G69" s="146">
        <v>5</v>
      </c>
      <c r="H69" s="146">
        <v>1</v>
      </c>
    </row>
    <row r="70" spans="1:8" ht="15">
      <c r="A70" s="229" t="s">
        <v>217</v>
      </c>
      <c r="B70" s="235" t="s">
        <v>218</v>
      </c>
      <c r="C70" s="145">
        <f>124781-695</f>
        <v>124086</v>
      </c>
      <c r="D70" s="145">
        <f>135320-197</f>
        <v>135123</v>
      </c>
      <c r="E70" s="231" t="s">
        <v>219</v>
      </c>
      <c r="F70" s="236" t="s">
        <v>220</v>
      </c>
      <c r="G70" s="146"/>
      <c r="H70" s="146"/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48354</v>
      </c>
      <c r="H71" s="155">
        <f>H59+H60+H61+H69+H70</f>
        <v>48470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>
        <v>121</v>
      </c>
      <c r="D72" s="145">
        <v>143</v>
      </c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10</v>
      </c>
      <c r="D73" s="145"/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2249</v>
      </c>
      <c r="D74" s="145">
        <f>1163+48-143</f>
        <v>1068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127855</v>
      </c>
      <c r="D75" s="149">
        <f>SUM(D67:D74)</f>
        <v>139031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48354</v>
      </c>
      <c r="H79" s="156">
        <f>H71+H74+H75+H76</f>
        <v>48470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v>0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10690</v>
      </c>
      <c r="D88" s="145">
        <v>9620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>
        <v>5188</v>
      </c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15878</v>
      </c>
      <c r="D91" s="149">
        <f>SUM(D87:D90)</f>
        <v>9620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1916</v>
      </c>
      <c r="D92" s="145">
        <f>3035-790</f>
        <v>2245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145649</v>
      </c>
      <c r="D93" s="149">
        <f>D64+D75+D84+D91+D92</f>
        <v>150896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168091</v>
      </c>
      <c r="D94" s="158">
        <f>D93+D55</f>
        <v>176475</v>
      </c>
      <c r="E94" s="442" t="s">
        <v>269</v>
      </c>
      <c r="F94" s="283" t="s">
        <v>270</v>
      </c>
      <c r="G94" s="159">
        <f>G36+G39+G55+G79</f>
        <v>168091</v>
      </c>
      <c r="H94" s="159">
        <f>H36+H39+H55+H79</f>
        <v>176474.76408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165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165"/>
      <c r="H97" s="166"/>
      <c r="M97" s="151"/>
    </row>
    <row r="98" spans="1:13" ht="15">
      <c r="A98" s="566">
        <v>39930</v>
      </c>
      <c r="B98" s="426"/>
      <c r="C98" s="582" t="s">
        <v>272</v>
      </c>
      <c r="D98" s="582"/>
      <c r="E98" s="582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6">
      <selection activeCell="E57" sqref="E57"/>
    </sheetView>
  </sheetViews>
  <sheetFormatPr defaultColWidth="9.00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74" t="s">
        <v>2</v>
      </c>
      <c r="G2" s="574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39903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98</v>
      </c>
      <c r="D9" s="40">
        <v>222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2304</v>
      </c>
      <c r="D10" s="40">
        <v>2808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96</v>
      </c>
      <c r="D11" s="40">
        <v>105</v>
      </c>
      <c r="E11" s="294" t="s">
        <v>292</v>
      </c>
      <c r="F11" s="537" t="s">
        <v>293</v>
      </c>
      <c r="G11" s="538">
        <v>5680</v>
      </c>
      <c r="H11" s="538">
        <v>4714</v>
      </c>
    </row>
    <row r="12" spans="1:8" ht="12">
      <c r="A12" s="292" t="s">
        <v>294</v>
      </c>
      <c r="B12" s="293" t="s">
        <v>295</v>
      </c>
      <c r="C12" s="40">
        <v>1902</v>
      </c>
      <c r="D12" s="40">
        <v>1971</v>
      </c>
      <c r="E12" s="294" t="s">
        <v>77</v>
      </c>
      <c r="F12" s="537" t="s">
        <v>296</v>
      </c>
      <c r="G12" s="538">
        <v>27</v>
      </c>
      <c r="H12" s="538">
        <v>31</v>
      </c>
    </row>
    <row r="13" spans="1:18" ht="12">
      <c r="A13" s="292" t="s">
        <v>297</v>
      </c>
      <c r="B13" s="293" t="s">
        <v>298</v>
      </c>
      <c r="C13" s="40">
        <v>356</v>
      </c>
      <c r="D13" s="40">
        <v>391</v>
      </c>
      <c r="E13" s="295" t="s">
        <v>50</v>
      </c>
      <c r="F13" s="539" t="s">
        <v>299</v>
      </c>
      <c r="G13" s="536">
        <f>SUM(G9:G12)</f>
        <v>5707</v>
      </c>
      <c r="H13" s="536">
        <f>SUM(H9:H12)</f>
        <v>4745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3011</v>
      </c>
      <c r="D16" s="41">
        <v>377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/>
      <c r="D17" s="42"/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2749</v>
      </c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7767</v>
      </c>
      <c r="D19" s="43">
        <f>SUM(D9:D15)+D16</f>
        <v>5874</v>
      </c>
      <c r="E19" s="298" t="s">
        <v>316</v>
      </c>
      <c r="F19" s="540" t="s">
        <v>317</v>
      </c>
      <c r="G19" s="538">
        <v>5130</v>
      </c>
      <c r="H19" s="538">
        <v>4174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2585</v>
      </c>
      <c r="D22" s="40">
        <v>2339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>
        <v>2</v>
      </c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/>
      <c r="D24" s="40">
        <v>4</v>
      </c>
      <c r="E24" s="295" t="s">
        <v>102</v>
      </c>
      <c r="F24" s="542" t="s">
        <v>333</v>
      </c>
      <c r="G24" s="536">
        <f>SUM(G19:G23)</f>
        <v>5130</v>
      </c>
      <c r="H24" s="536">
        <f>SUM(H19:H23)</f>
        <v>4174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262</v>
      </c>
      <c r="D25" s="40">
        <v>173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2849</v>
      </c>
      <c r="D26" s="43">
        <f>SUM(D22:D25)</f>
        <v>2516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10616</v>
      </c>
      <c r="D28" s="44">
        <f>D26+D19</f>
        <v>8390</v>
      </c>
      <c r="E28" s="121" t="s">
        <v>338</v>
      </c>
      <c r="F28" s="542" t="s">
        <v>339</v>
      </c>
      <c r="G28" s="536">
        <f>G13+G15+G24</f>
        <v>10837</v>
      </c>
      <c r="H28" s="536">
        <f>H13+H15+H24</f>
        <v>8919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221</v>
      </c>
      <c r="D30" s="44">
        <f>IF((H28-D28)&gt;0,H28-D28,0)</f>
        <v>529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10616</v>
      </c>
      <c r="D33" s="43">
        <f>D28+D31+D32</f>
        <v>8390</v>
      </c>
      <c r="E33" s="121" t="s">
        <v>352</v>
      </c>
      <c r="F33" s="542" t="s">
        <v>353</v>
      </c>
      <c r="G33" s="47">
        <f>G32+G31+G28</f>
        <v>10837</v>
      </c>
      <c r="H33" s="47">
        <f>H32+H31+H28</f>
        <v>8919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221</v>
      </c>
      <c r="D34" s="44">
        <f>IF((H33-D33)&gt;0,H33-D33,0)</f>
        <v>529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22</v>
      </c>
      <c r="D35" s="43">
        <f>D36+D37+D38</f>
        <v>53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>
        <v>22</v>
      </c>
      <c r="D36" s="40">
        <v>53</v>
      </c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199</v>
      </c>
      <c r="D39" s="450">
        <f>+IF((H33-D33-D35)&gt;0,H33-D33-D35,0)</f>
        <v>476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199</v>
      </c>
      <c r="D41" s="46">
        <f>IF(H39=0,IF(D39-D40&gt;0,D39-D40+H40,0),IF(H39-H40&lt;0,H40-H39+D39,0))</f>
        <v>476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10837</v>
      </c>
      <c r="D42" s="47">
        <f>D33+D35+D39</f>
        <v>8919</v>
      </c>
      <c r="E42" s="122" t="s">
        <v>379</v>
      </c>
      <c r="F42" s="123" t="s">
        <v>380</v>
      </c>
      <c r="G42" s="47">
        <f>G39+G33</f>
        <v>10837</v>
      </c>
      <c r="H42" s="47">
        <f>H39+H33</f>
        <v>8919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75" t="s">
        <v>861</v>
      </c>
      <c r="B45" s="575"/>
      <c r="C45" s="575"/>
      <c r="D45" s="575"/>
      <c r="E45" s="575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39930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B52" sqref="B52"/>
    </sheetView>
  </sheetViews>
  <sheetFormatPr defaultColWidth="9.00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39903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65</v>
      </c>
      <c r="D10" s="48">
        <v>48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-1704</v>
      </c>
      <c r="D11" s="48">
        <v>-3310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15033</v>
      </c>
      <c r="D12" s="48">
        <v>-11958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-2242</v>
      </c>
      <c r="D13" s="48">
        <v>-2320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-40</v>
      </c>
      <c r="D14" s="48">
        <v>-22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9318</v>
      </c>
      <c r="D16" s="48">
        <v>10382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-159</v>
      </c>
      <c r="D17" s="48">
        <v>-36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-2</v>
      </c>
      <c r="D18" s="48">
        <v>-4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-6</v>
      </c>
      <c r="D19" s="48">
        <v>-370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20263</v>
      </c>
      <c r="D20" s="49">
        <f>SUM(D10:D19)</f>
        <v>-7590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</v>
      </c>
      <c r="D22" s="48">
        <v>-70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</v>
      </c>
      <c r="D32" s="49">
        <f>SUM(D22:D31)</f>
        <v>-70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1429</v>
      </c>
      <c r="D36" s="48">
        <v>15406</v>
      </c>
      <c r="E36" s="124"/>
      <c r="F36" s="124"/>
    </row>
    <row r="37" spans="1:6" ht="12">
      <c r="A37" s="326" t="s">
        <v>437</v>
      </c>
      <c r="B37" s="327" t="s">
        <v>438</v>
      </c>
      <c r="C37" s="48">
        <v>-13087</v>
      </c>
      <c r="D37" s="48">
        <v>-4468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v>-3</v>
      </c>
      <c r="E38" s="124"/>
      <c r="F38" s="124"/>
    </row>
    <row r="39" spans="1:6" ht="12">
      <c r="A39" s="326" t="s">
        <v>441</v>
      </c>
      <c r="B39" s="327" t="s">
        <v>442</v>
      </c>
      <c r="C39" s="48">
        <v>-2346</v>
      </c>
      <c r="D39" s="48">
        <v>-2599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-14004</v>
      </c>
      <c r="D42" s="49">
        <f>SUM(D34:D41)</f>
        <v>8336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6258</v>
      </c>
      <c r="D43" s="49">
        <f>D42+D32+D20</f>
        <v>676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9620</v>
      </c>
      <c r="D44" s="126">
        <v>1007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15878</v>
      </c>
      <c r="D45" s="49">
        <f>D44+D43</f>
        <v>1683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№1-БАЛАНС'!C88+'справка №1-БАЛАНС'!C87</f>
        <v>10690</v>
      </c>
      <c r="D46" s="50">
        <v>1683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>
        <f>+'справка №1-БАЛАНС'!C89</f>
        <v>5188</v>
      </c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39930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76"/>
      <c r="D50" s="577"/>
      <c r="G50" s="127"/>
      <c r="H50" s="127"/>
    </row>
    <row r="51" spans="1:8" ht="12">
      <c r="A51" s="312"/>
      <c r="B51" s="312"/>
      <c r="C51" s="313"/>
      <c r="D51" s="313"/>
      <c r="G51" s="127"/>
      <c r="H51" s="127"/>
    </row>
    <row r="52" spans="1:8" ht="12">
      <c r="A52" s="312"/>
      <c r="B52" s="429" t="s">
        <v>781</v>
      </c>
      <c r="C52" s="577"/>
      <c r="D52" s="577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A39" sqref="A39"/>
    </sheetView>
  </sheetViews>
  <sheetFormatPr defaultColWidth="9.00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1" t="str">
        <f>'справка №1-БАЛАНС'!E3</f>
        <v>Ти Би Ай Кредит ЕАД</v>
      </c>
      <c r="C3" s="591"/>
      <c r="D3" s="591"/>
      <c r="E3" s="591"/>
      <c r="F3" s="591"/>
      <c r="G3" s="591"/>
      <c r="H3" s="591"/>
      <c r="I3" s="591"/>
      <c r="J3" s="466"/>
      <c r="K3" s="593" t="s">
        <v>2</v>
      </c>
      <c r="L3" s="593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0"/>
      <c r="K4" s="594" t="s">
        <v>3</v>
      </c>
      <c r="L4" s="594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5">
        <f>'справка №1-БАЛАНС'!E5</f>
        <v>39903</v>
      </c>
      <c r="C5" s="595"/>
      <c r="D5" s="595"/>
      <c r="E5" s="595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25000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628</v>
      </c>
      <c r="G11" s="52">
        <f>'справка №1-БАЛАНС'!H23</f>
        <v>0</v>
      </c>
      <c r="H11" s="54"/>
      <c r="I11" s="52">
        <f>'справка №1-БАЛАНС'!H28+'справка №1-БАЛАНС'!H31</f>
        <v>1073.76408</v>
      </c>
      <c r="J11" s="52">
        <f>'справка №1-БАЛАНС'!H29+'справка №1-БАЛАНС'!H32</f>
        <v>0</v>
      </c>
      <c r="K11" s="54"/>
      <c r="L11" s="338">
        <f>SUM(C11:K11)</f>
        <v>26701.76408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25000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628</v>
      </c>
      <c r="G15" s="55">
        <f t="shared" si="2"/>
        <v>0</v>
      </c>
      <c r="H15" s="55">
        <f t="shared" si="2"/>
        <v>0</v>
      </c>
      <c r="I15" s="55">
        <f t="shared" si="2"/>
        <v>1073.76408</v>
      </c>
      <c r="J15" s="55">
        <f t="shared" si="2"/>
        <v>0</v>
      </c>
      <c r="K15" s="55">
        <f t="shared" si="2"/>
        <v>0</v>
      </c>
      <c r="L15" s="338">
        <f t="shared" si="1"/>
        <v>26701.76408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199</v>
      </c>
      <c r="J16" s="339">
        <f>+'справка №1-БАЛАНС'!G32</f>
        <v>0</v>
      </c>
      <c r="K16" s="54"/>
      <c r="L16" s="338">
        <f t="shared" si="1"/>
        <v>199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25000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628</v>
      </c>
      <c r="G29" s="53">
        <f t="shared" si="6"/>
        <v>0</v>
      </c>
      <c r="H29" s="53">
        <f t="shared" si="6"/>
        <v>0</v>
      </c>
      <c r="I29" s="53">
        <f t="shared" si="6"/>
        <v>1272.76408</v>
      </c>
      <c r="J29" s="53">
        <f t="shared" si="6"/>
        <v>0</v>
      </c>
      <c r="K29" s="53">
        <f t="shared" si="6"/>
        <v>0</v>
      </c>
      <c r="L29" s="338">
        <f t="shared" si="1"/>
        <v>26900.76408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25000</v>
      </c>
      <c r="D32" s="53">
        <f t="shared" si="7"/>
        <v>0</v>
      </c>
      <c r="E32" s="53">
        <f t="shared" si="7"/>
        <v>0</v>
      </c>
      <c r="F32" s="53">
        <f t="shared" si="7"/>
        <v>628</v>
      </c>
      <c r="G32" s="53">
        <f t="shared" si="7"/>
        <v>0</v>
      </c>
      <c r="H32" s="53">
        <f t="shared" si="7"/>
        <v>0</v>
      </c>
      <c r="I32" s="53">
        <f t="shared" si="7"/>
        <v>1272.76408</v>
      </c>
      <c r="J32" s="53">
        <f t="shared" si="7"/>
        <v>0</v>
      </c>
      <c r="K32" s="53">
        <f t="shared" si="7"/>
        <v>0</v>
      </c>
      <c r="L32" s="338">
        <f t="shared" si="1"/>
        <v>26900.76408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№3-ОПП по прекия метод'!A49</f>
        <v>39930</v>
      </c>
      <c r="B38" s="19"/>
      <c r="C38" s="15"/>
      <c r="D38" s="590" t="s">
        <v>521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9">
      <selection activeCell="B57" sqref="B5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596" t="s">
        <v>383</v>
      </c>
      <c r="B2" s="597"/>
      <c r="C2" s="598" t="str">
        <f>'справка №1-БАЛАНС'!E3</f>
        <v>Ти Би Ай Кредит ЕАД</v>
      </c>
      <c r="D2" s="598"/>
      <c r="E2" s="598"/>
      <c r="F2" s="598"/>
      <c r="G2" s="598"/>
      <c r="H2" s="598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596" t="s">
        <v>4</v>
      </c>
      <c r="B3" s="597"/>
      <c r="C3" s="599">
        <f>'справка №1-БАЛАНС'!E5</f>
        <v>39903</v>
      </c>
      <c r="D3" s="599"/>
      <c r="E3" s="599"/>
      <c r="F3" s="475"/>
      <c r="G3" s="475"/>
      <c r="H3" s="475"/>
      <c r="I3" s="475"/>
      <c r="J3" s="475"/>
      <c r="K3" s="475"/>
      <c r="L3" s="475"/>
      <c r="M3" s="600" t="s">
        <v>3</v>
      </c>
      <c r="N3" s="600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1" t="s">
        <v>463</v>
      </c>
      <c r="B5" s="602"/>
      <c r="C5" s="605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10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10" t="s">
        <v>529</v>
      </c>
      <c r="R5" s="610" t="s">
        <v>530</v>
      </c>
    </row>
    <row r="6" spans="1:18" s="94" customFormat="1" ht="48">
      <c r="A6" s="603"/>
      <c r="B6" s="604"/>
      <c r="C6" s="606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11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11"/>
      <c r="R6" s="611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505</v>
      </c>
      <c r="E11" s="183"/>
      <c r="F11" s="183"/>
      <c r="G11" s="68">
        <f t="shared" si="2"/>
        <v>505</v>
      </c>
      <c r="H11" s="59"/>
      <c r="I11" s="59"/>
      <c r="J11" s="68">
        <f t="shared" si="3"/>
        <v>505</v>
      </c>
      <c r="K11" s="59">
        <v>404</v>
      </c>
      <c r="L11" s="59">
        <v>28</v>
      </c>
      <c r="M11" s="59"/>
      <c r="N11" s="68">
        <f t="shared" si="4"/>
        <v>432</v>
      </c>
      <c r="O11" s="59"/>
      <c r="P11" s="59"/>
      <c r="Q11" s="68">
        <f t="shared" si="0"/>
        <v>432</v>
      </c>
      <c r="R11" s="68">
        <f t="shared" si="1"/>
        <v>73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215</v>
      </c>
      <c r="E13" s="183"/>
      <c r="F13" s="183"/>
      <c r="G13" s="68">
        <f t="shared" si="2"/>
        <v>215</v>
      </c>
      <c r="H13" s="59"/>
      <c r="I13" s="59"/>
      <c r="J13" s="68">
        <f t="shared" si="3"/>
        <v>215</v>
      </c>
      <c r="K13" s="59">
        <v>206</v>
      </c>
      <c r="L13" s="59">
        <v>2</v>
      </c>
      <c r="M13" s="59"/>
      <c r="N13" s="68">
        <f t="shared" si="4"/>
        <v>208</v>
      </c>
      <c r="O13" s="59"/>
      <c r="P13" s="59"/>
      <c r="Q13" s="68">
        <f t="shared" si="0"/>
        <v>208</v>
      </c>
      <c r="R13" s="68">
        <f t="shared" si="1"/>
        <v>7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371</v>
      </c>
      <c r="E14" s="183">
        <v>1</v>
      </c>
      <c r="F14" s="183"/>
      <c r="G14" s="68">
        <f t="shared" si="2"/>
        <v>372</v>
      </c>
      <c r="H14" s="59"/>
      <c r="I14" s="59"/>
      <c r="J14" s="68">
        <f t="shared" si="3"/>
        <v>372</v>
      </c>
      <c r="K14" s="59">
        <v>117</v>
      </c>
      <c r="L14" s="59">
        <v>13</v>
      </c>
      <c r="M14" s="59"/>
      <c r="N14" s="68">
        <f t="shared" si="4"/>
        <v>130</v>
      </c>
      <c r="O14" s="59"/>
      <c r="P14" s="59"/>
      <c r="Q14" s="68">
        <f t="shared" si="0"/>
        <v>130</v>
      </c>
      <c r="R14" s="68">
        <f t="shared" si="1"/>
        <v>242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1091</v>
      </c>
      <c r="E17" s="188">
        <f>SUM(E9:E16)</f>
        <v>1</v>
      </c>
      <c r="F17" s="188">
        <f>SUM(F9:F16)</f>
        <v>0</v>
      </c>
      <c r="G17" s="68">
        <f t="shared" si="2"/>
        <v>1092</v>
      </c>
      <c r="H17" s="69">
        <f>SUM(H9:H16)</f>
        <v>0</v>
      </c>
      <c r="I17" s="69">
        <f>SUM(I9:I16)</f>
        <v>0</v>
      </c>
      <c r="J17" s="68">
        <f t="shared" si="3"/>
        <v>1092</v>
      </c>
      <c r="K17" s="69">
        <f>SUM(K9:K16)</f>
        <v>727</v>
      </c>
      <c r="L17" s="69">
        <f>SUM(L9:L16)</f>
        <v>43</v>
      </c>
      <c r="M17" s="69">
        <f>SUM(M9:M16)</f>
        <v>0</v>
      </c>
      <c r="N17" s="68">
        <f t="shared" si="4"/>
        <v>770</v>
      </c>
      <c r="O17" s="69">
        <f>SUM(O9:O16)</f>
        <v>0</v>
      </c>
      <c r="P17" s="69">
        <f>SUM(P9:P16)</f>
        <v>0</v>
      </c>
      <c r="Q17" s="68">
        <f t="shared" si="5"/>
        <v>770</v>
      </c>
      <c r="R17" s="68">
        <f t="shared" si="6"/>
        <v>322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f>+'[2]справка №5'!$G$21</f>
        <v>30</v>
      </c>
      <c r="E21" s="183"/>
      <c r="F21" s="183"/>
      <c r="G21" s="68">
        <f t="shared" si="2"/>
        <v>30</v>
      </c>
      <c r="H21" s="59"/>
      <c r="I21" s="59"/>
      <c r="J21" s="68">
        <f t="shared" si="3"/>
        <v>30</v>
      </c>
      <c r="K21" s="59">
        <v>17</v>
      </c>
      <c r="L21" s="59">
        <v>1</v>
      </c>
      <c r="M21" s="59"/>
      <c r="N21" s="68">
        <f t="shared" si="4"/>
        <v>18</v>
      </c>
      <c r="O21" s="59"/>
      <c r="P21" s="59"/>
      <c r="Q21" s="68">
        <f t="shared" si="5"/>
        <v>18</v>
      </c>
      <c r="R21" s="68">
        <f t="shared" si="6"/>
        <v>12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761</v>
      </c>
      <c r="E22" s="183"/>
      <c r="F22" s="183"/>
      <c r="G22" s="68">
        <f t="shared" si="2"/>
        <v>761</v>
      </c>
      <c r="H22" s="59"/>
      <c r="I22" s="59"/>
      <c r="J22" s="68">
        <f t="shared" si="3"/>
        <v>761</v>
      </c>
      <c r="K22" s="59">
        <v>631</v>
      </c>
      <c r="L22" s="59">
        <v>42</v>
      </c>
      <c r="M22" s="59"/>
      <c r="N22" s="68">
        <f t="shared" si="4"/>
        <v>673</v>
      </c>
      <c r="O22" s="59"/>
      <c r="P22" s="59"/>
      <c r="Q22" s="68">
        <f t="shared" si="5"/>
        <v>673</v>
      </c>
      <c r="R22" s="68">
        <f t="shared" si="6"/>
        <v>88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264</v>
      </c>
      <c r="E24" s="183"/>
      <c r="F24" s="183"/>
      <c r="G24" s="68">
        <f t="shared" si="2"/>
        <v>264</v>
      </c>
      <c r="H24" s="59"/>
      <c r="I24" s="59"/>
      <c r="J24" s="68">
        <f t="shared" si="3"/>
        <v>264</v>
      </c>
      <c r="K24" s="59">
        <v>69</v>
      </c>
      <c r="L24" s="59">
        <v>10</v>
      </c>
      <c r="M24" s="59"/>
      <c r="N24" s="68">
        <f t="shared" si="4"/>
        <v>79</v>
      </c>
      <c r="O24" s="59"/>
      <c r="P24" s="59"/>
      <c r="Q24" s="68">
        <f t="shared" si="5"/>
        <v>79</v>
      </c>
      <c r="R24" s="68">
        <f t="shared" si="6"/>
        <v>185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1055</v>
      </c>
      <c r="E25" s="184">
        <f aca="true" t="shared" si="7" ref="E25:P25">SUM(E21:E24)</f>
        <v>0</v>
      </c>
      <c r="F25" s="184">
        <f t="shared" si="7"/>
        <v>0</v>
      </c>
      <c r="G25" s="61">
        <f t="shared" si="2"/>
        <v>1055</v>
      </c>
      <c r="H25" s="60">
        <f t="shared" si="7"/>
        <v>0</v>
      </c>
      <c r="I25" s="60">
        <f t="shared" si="7"/>
        <v>0</v>
      </c>
      <c r="J25" s="61">
        <f t="shared" si="3"/>
        <v>1055</v>
      </c>
      <c r="K25" s="60">
        <f t="shared" si="7"/>
        <v>717</v>
      </c>
      <c r="L25" s="60">
        <f t="shared" si="7"/>
        <v>53</v>
      </c>
      <c r="M25" s="60">
        <f t="shared" si="7"/>
        <v>0</v>
      </c>
      <c r="N25" s="61">
        <f t="shared" si="4"/>
        <v>770</v>
      </c>
      <c r="O25" s="60">
        <f t="shared" si="7"/>
        <v>0</v>
      </c>
      <c r="P25" s="60">
        <f t="shared" si="7"/>
        <v>0</v>
      </c>
      <c r="Q25" s="61">
        <f t="shared" si="5"/>
        <v>770</v>
      </c>
      <c r="R25" s="61">
        <f t="shared" si="6"/>
        <v>285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2146</v>
      </c>
      <c r="E40" s="431">
        <f>E17+E18+E19+E25+E38+E39</f>
        <v>1</v>
      </c>
      <c r="F40" s="431">
        <f aca="true" t="shared" si="13" ref="F40:R40">F17+F18+F19+F25+F38+F39</f>
        <v>0</v>
      </c>
      <c r="G40" s="431">
        <f t="shared" si="13"/>
        <v>2147</v>
      </c>
      <c r="H40" s="431">
        <f t="shared" si="13"/>
        <v>0</v>
      </c>
      <c r="I40" s="431">
        <f t="shared" si="13"/>
        <v>0</v>
      </c>
      <c r="J40" s="431">
        <f t="shared" si="13"/>
        <v>2147</v>
      </c>
      <c r="K40" s="431">
        <f t="shared" si="13"/>
        <v>1444</v>
      </c>
      <c r="L40" s="431">
        <f t="shared" si="13"/>
        <v>96</v>
      </c>
      <c r="M40" s="431">
        <f t="shared" si="13"/>
        <v>0</v>
      </c>
      <c r="N40" s="431">
        <f t="shared" si="13"/>
        <v>1540</v>
      </c>
      <c r="O40" s="431">
        <f t="shared" si="13"/>
        <v>0</v>
      </c>
      <c r="P40" s="431">
        <f t="shared" si="13"/>
        <v>0</v>
      </c>
      <c r="Q40" s="431">
        <f t="shared" si="13"/>
        <v>1540</v>
      </c>
      <c r="R40" s="431">
        <f t="shared" si="13"/>
        <v>607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39930</v>
      </c>
      <c r="C44" s="348"/>
      <c r="D44" s="349"/>
      <c r="E44" s="349"/>
      <c r="F44" s="349"/>
      <c r="G44" s="345"/>
      <c r="H44" s="350" t="s">
        <v>608</v>
      </c>
      <c r="I44" s="350"/>
      <c r="J44" s="350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">
      <selection activeCell="E99" sqref="E99"/>
    </sheetView>
  </sheetViews>
  <sheetFormatPr defaultColWidth="9.00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19" t="str">
        <f>'справка №1-БАЛАНС'!E3</f>
        <v>Ти Би Ай Кредит ЕАД</v>
      </c>
      <c r="C3" s="620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16">
        <f>'справка №1-БАЛАНС'!E5</f>
        <v>39903</v>
      </c>
      <c r="C4" s="617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21018</v>
      </c>
      <c r="D15" s="102"/>
      <c r="E15" s="114">
        <f t="shared" si="0"/>
        <v>21018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21018</v>
      </c>
      <c r="D19" s="98">
        <f>D11+D15+D16</f>
        <v>0</v>
      </c>
      <c r="E19" s="112">
        <f>E11+E15+E16</f>
        <v>21018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49</v>
      </c>
      <c r="D21" s="102"/>
      <c r="E21" s="114">
        <f t="shared" si="0"/>
        <v>49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890</v>
      </c>
      <c r="D24" s="113">
        <f>SUM(D25:D27)</f>
        <v>890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695</v>
      </c>
      <c r="D25" s="102">
        <f aca="true" t="shared" si="1" ref="D25:D30">C25</f>
        <v>695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>
        <v>195</v>
      </c>
      <c r="D27" s="102">
        <f t="shared" si="1"/>
        <v>195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212</v>
      </c>
      <c r="D28" s="102">
        <f t="shared" si="1"/>
        <v>212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287</v>
      </c>
      <c r="D29" s="102">
        <f t="shared" si="1"/>
        <v>287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124086</v>
      </c>
      <c r="D30" s="102">
        <f t="shared" si="1"/>
        <v>124086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121</v>
      </c>
      <c r="D33" s="99">
        <f>SUM(D34:D37)</f>
        <v>121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>
        <v>121</v>
      </c>
      <c r="D34" s="102">
        <f>C34</f>
        <v>121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>
        <f>+C35</f>
        <v>0</v>
      </c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2259</v>
      </c>
      <c r="D38" s="99">
        <f>SUM(D39:D42)</f>
        <v>2259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v>2259</v>
      </c>
      <c r="D42" s="102">
        <f>C42</f>
        <v>2259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127855</v>
      </c>
      <c r="D43" s="98">
        <f>D24+D28+D29+D31+D30+D32+D33+D38</f>
        <v>127855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148922</v>
      </c>
      <c r="D44" s="97">
        <f>D43+D21+D19+D9</f>
        <v>127855</v>
      </c>
      <c r="E44" s="112">
        <f>E43+E21+E19+E9</f>
        <v>21067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17447</v>
      </c>
      <c r="D52" s="97">
        <f>SUM(D53:D55)</f>
        <v>0</v>
      </c>
      <c r="E52" s="113">
        <f>C52-D52</f>
        <v>17447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17447</v>
      </c>
      <c r="D53" s="102">
        <v>0</v>
      </c>
      <c r="E53" s="113">
        <f>C53-D53</f>
        <v>17447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48570</v>
      </c>
      <c r="D56" s="97">
        <f>D57+D59</f>
        <v>0</v>
      </c>
      <c r="E56" s="113">
        <f t="shared" si="2"/>
        <v>48570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48570</v>
      </c>
      <c r="D57" s="102">
        <v>0</v>
      </c>
      <c r="E57" s="113">
        <f t="shared" si="2"/>
        <v>48570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26819</v>
      </c>
      <c r="D63" s="102"/>
      <c r="E63" s="113">
        <f t="shared" si="2"/>
        <v>26819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92836</v>
      </c>
      <c r="D66" s="97">
        <f>D52+D56+D61+D62+D63+D64</f>
        <v>0</v>
      </c>
      <c r="E66" s="113">
        <f t="shared" si="2"/>
        <v>92836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4068</v>
      </c>
      <c r="D71" s="99">
        <f>SUM(D72:D74)</f>
        <v>4068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139</v>
      </c>
      <c r="D72" s="102">
        <f>C72</f>
        <v>139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3929</v>
      </c>
      <c r="D74" s="102">
        <f>C74</f>
        <v>3929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28330</v>
      </c>
      <c r="D75" s="97">
        <f>D76+D78</f>
        <v>28330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28330</v>
      </c>
      <c r="D76" s="102">
        <f>C76</f>
        <v>28330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14436</v>
      </c>
      <c r="D80" s="97">
        <f>SUM(D81:D84)</f>
        <v>14436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14436</v>
      </c>
      <c r="D82" s="102">
        <f>C82</f>
        <v>14436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1515</v>
      </c>
      <c r="D85" s="98">
        <f>SUM(D86:D90)+D94</f>
        <v>1515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368</v>
      </c>
      <c r="D87" s="102">
        <f>C87</f>
        <v>368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/>
      <c r="D88" s="102">
        <f>C88</f>
        <v>0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852</v>
      </c>
      <c r="D89" s="102">
        <f>C89</f>
        <v>852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77</v>
      </c>
      <c r="D90" s="97">
        <f>SUM(D91:D93)</f>
        <v>77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8</v>
      </c>
      <c r="D92" s="102">
        <f>C92</f>
        <v>8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69</v>
      </c>
      <c r="D93" s="102">
        <f>C93</f>
        <v>69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218</v>
      </c>
      <c r="D94" s="102">
        <f>C94</f>
        <v>218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5</v>
      </c>
      <c r="D95" s="102">
        <f>C95</f>
        <v>5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48354</v>
      </c>
      <c r="D96" s="98">
        <f>D85+D80+D75+D71+D95</f>
        <v>48354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141190</v>
      </c>
      <c r="D97" s="98">
        <f>D96+D68+D66</f>
        <v>48354</v>
      </c>
      <c r="E97" s="98">
        <f>E96+E68+E66</f>
        <v>92836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/>
      <c r="D104" s="102">
        <v>0</v>
      </c>
      <c r="E104" s="102"/>
      <c r="F104" s="119">
        <f>C104+D104-E104</f>
        <v>0</v>
      </c>
    </row>
    <row r="105" spans="1:16" ht="12">
      <c r="A105" s="406" t="s">
        <v>777</v>
      </c>
      <c r="B105" s="389" t="s">
        <v>778</v>
      </c>
      <c r="C105" s="97">
        <f>SUM(C102:C104)</f>
        <v>0</v>
      </c>
      <c r="D105" s="97">
        <f>SUM(D102:D104)</f>
        <v>0</v>
      </c>
      <c r="E105" s="97">
        <f>SUM(E102:E104)</f>
        <v>0</v>
      </c>
      <c r="F105" s="97">
        <f>SUM(F102:F104)</f>
        <v>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18">
        <f>+'справка №5'!B44</f>
        <v>39930</v>
      </c>
      <c r="B109" s="613"/>
      <c r="C109" s="613" t="s">
        <v>381</v>
      </c>
      <c r="D109" s="613"/>
      <c r="E109" s="613"/>
      <c r="F109" s="613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2" t="s">
        <v>781</v>
      </c>
      <c r="D111" s="612"/>
      <c r="E111" s="612"/>
      <c r="F111" s="612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41" sqref="C41"/>
    </sheetView>
  </sheetViews>
  <sheetFormatPr defaultColWidth="9.00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1" t="str">
        <f>'справка №1-БАЛАНС'!E3</f>
        <v>Ти Би Ай Кредит ЕАД</v>
      </c>
      <c r="C4" s="621"/>
      <c r="D4" s="621"/>
      <c r="E4" s="621"/>
      <c r="F4" s="621"/>
      <c r="G4" s="627" t="s">
        <v>2</v>
      </c>
      <c r="H4" s="627"/>
      <c r="I4" s="490">
        <f>'справка №1-БАЛАНС'!H3</f>
        <v>121554961</v>
      </c>
    </row>
    <row r="5" spans="1:9" ht="15">
      <c r="A5" s="491" t="s">
        <v>4</v>
      </c>
      <c r="B5" s="622">
        <f>'справка №1-БАЛАНС'!E5</f>
        <v>39903</v>
      </c>
      <c r="C5" s="622"/>
      <c r="D5" s="622"/>
      <c r="E5" s="622"/>
      <c r="F5" s="622"/>
      <c r="G5" s="625" t="s">
        <v>3</v>
      </c>
      <c r="H5" s="626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39930</v>
      </c>
      <c r="B30" s="624"/>
      <c r="C30" s="624"/>
      <c r="D30" s="449" t="s">
        <v>819</v>
      </c>
      <c r="E30" s="623"/>
      <c r="F30" s="623"/>
      <c r="G30" s="623"/>
      <c r="H30" s="414" t="s">
        <v>781</v>
      </c>
      <c r="I30" s="623"/>
      <c r="J30" s="623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C168" sqref="C168"/>
    </sheetView>
  </sheetViews>
  <sheetFormatPr defaultColWidth="9.00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28" t="str">
        <f>'справка №1-БАЛАНС'!E3</f>
        <v>Ти Би Ай Кредит ЕАД</v>
      </c>
      <c r="C3" s="628"/>
      <c r="D3" s="628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29">
        <f>'справка №1-БАЛАНС'!E5</f>
        <v>39903</v>
      </c>
      <c r="C4" s="629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829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39930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0" t="s">
        <v>848</v>
      </c>
      <c r="D150" s="630"/>
      <c r="E150" s="630"/>
      <c r="F150" s="630"/>
    </row>
    <row r="151" spans="3:5" ht="12.75">
      <c r="C151" s="505"/>
      <c r="E151" s="505"/>
    </row>
    <row r="154" spans="3:6" ht="12.75">
      <c r="C154" s="630" t="s">
        <v>856</v>
      </c>
      <c r="D154" s="630"/>
      <c r="E154" s="630"/>
      <c r="F154" s="630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Ivanov</cp:lastModifiedBy>
  <cp:lastPrinted>2008-03-26T09:53:05Z</cp:lastPrinted>
  <dcterms:created xsi:type="dcterms:W3CDTF">2000-06-29T12:02:40Z</dcterms:created>
  <dcterms:modified xsi:type="dcterms:W3CDTF">2009-04-27T13:05:35Z</dcterms:modified>
  <cp:category/>
  <cp:version/>
  <cp:contentType/>
  <cp:contentStatus/>
</cp:coreProperties>
</file>