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15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<sst xmlns="http://schemas.openxmlformats.org/spreadsheetml/2006/main" count="4164" uniqueCount="974">
  <si>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</si>
  <si>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</si>
  <si>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</si>
  <si>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</si>
  <si>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</si>
  <si>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</si>
  <si>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</si>
  <si>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</si>
  <si>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</si>
  <si>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</si>
  <si>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</si>
  <si>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</si>
  <si>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</si>
  <si>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</si>
  <si>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</si>
  <si>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</si>
  <si>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</si>
  <si>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</si>
  <si>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</si>
  <si>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</si>
  <si>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</si>
  <si>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</si>
  <si>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</si>
  <si>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</si>
  <si>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</si>
  <si>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</si>
  <si>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</si>
  <si>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</si>
  <si>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</si>
  <si>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</si>
  <si>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</si>
  <si>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</si>
  <si>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</si>
  <si>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</si>
  <si>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</si>
  <si>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</si>
  <si>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</si>
  <si>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</si>
  <si>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</si>
  <si>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</si>
  <si>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</si>
  <si>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</si>
  <si>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</si>
  <si>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</si>
  <si>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</si>
  <si>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</si>
  <si>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</si>
  <si>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</si>
  <si>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</si>
  <si>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</si>
  <si>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</si>
  <si>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</si>
  <si>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</si>
  <si>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</si>
  <si>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</si>
  <si>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</si>
  <si>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</si>
  <si>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</si>
  <si>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</si>
  <si>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</si>
  <si>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</si>
  <si>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</si>
  <si>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</si>
  <si>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</si>
  <si>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</si>
  <si>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</si>
  <si>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</si>
  <si>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</si>
  <si>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</si>
  <si>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</si>
  <si>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</si>
  <si>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</si>
  <si>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</si>
  <si>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</si>
  <si>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</si>
  <si>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</si>
  <si>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</si>
  <si>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</si>
  <si>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</si>
  <si>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</si>
  <si>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</si>
  <si>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</si>
  <si>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</si>
  <si>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</si>
  <si>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</si>
  <si>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</si>
  <si>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</si>
  <si>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</si>
  <si>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</si>
  <si>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</si>
  <si>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</si>
  <si>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</si>
  <si>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</si>
  <si>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</si>
  <si>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</si>
  <si>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</si>
  <si>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</si>
  <si>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</si>
  <si>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</si>
  <si>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</si>
  <si>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</si>
  <si>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</si>
  <si>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</si>
  <si>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</si>
  <si>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</si>
  <si>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</si>
  <si>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</si>
  <si>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</si>
  <si>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</si>
  <si>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</si>
  <si>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</si>
  <si>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</si>
  <si>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</si>
  <si>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</si>
  <si>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</si>
  <si>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</si>
  <si>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</si>
  <si>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</si>
  <si>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</si>
  <si>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</si>
  <si>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</si>
  <si>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</si>
  <si>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</si>
  <si>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</si>
  <si>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</si>
  <si>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</si>
  <si>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</si>
  <si>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</si>
  <si>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</si>
  <si>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</si>
  <si>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</si>
  <si>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</si>
  <si>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</si>
  <si>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</si>
  <si>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</si>
  <si>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</si>
  <si>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</si>
  <si>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</si>
  <si>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</si>
  <si>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</si>
  <si>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</si>
  <si>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</si>
  <si>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</si>
  <si>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</si>
  <si>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</si>
  <si>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</si>
  <si>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</si>
  <si>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</si>
  <si>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</si>
  <si>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</si>
  <si>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</si>
  <si>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</si>
  <si>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</si>
  <si>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</si>
  <si>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</si>
  <si>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</si>
  <si>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</si>
  <si>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</si>
  <si>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</si>
  <si>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</si>
  <si>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</si>
  <si>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</si>
  <si>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</si>
  <si>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</si>
  <si>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</si>
  <si>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</si>
  <si>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</si>
  <si>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</si>
  <si>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</si>
  <si>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</si>
  <si>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</si>
  <si>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</si>
  <si>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</si>
  <si>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</si>
  <si>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</si>
  <si>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</si>
  <si>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</si>
  <si>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</si>
  <si>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</si>
  <si>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</si>
  <si>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</si>
  <si>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</si>
  <si>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</si>
  <si>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</si>
  <si>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</si>
  <si>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</si>
  <si>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</si>
  <si>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</si>
  <si>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</si>
  <si>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</si>
  <si>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</si>
  <si>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</si>
  <si>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</si>
  <si>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</si>
  <si>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</si>
  <si>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</si>
  <si>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</si>
  <si>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</si>
  <si>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</si>
  <si>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</si>
  <si>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</si>
  <si>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</si>
  <si>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</si>
  <si>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</si>
  <si>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</si>
  <si>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</si>
  <si>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</si>
  <si>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</si>
  <si>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</si>
  <si>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</si>
  <si>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</si>
  <si>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</si>
  <si>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</si>
  <si>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</si>
  <si>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</si>
  <si>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</si>
  <si>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</si>
  <si>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</si>
  <si>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</si>
  <si>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</si>
  <si>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</si>
  <si>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</si>
  <si>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</si>
  <si>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</si>
  <si>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</si>
  <si>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</si>
  <si>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</si>
  <si>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</si>
  <si>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</si>
  <si>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</si>
  <si>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</si>
  <si>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</si>
  <si>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</si>
  <si>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</si>
  <si>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</si>
  <si>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</si>
  <si>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</si>
  <si>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</si>
  <si>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</si>
  <si>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</si>
  <si>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</si>
  <si>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</si>
  <si>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</si>
  <si>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</si>
  <si>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</si>
  <si>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</si>
  <si>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</si>
  <si>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</si>
  <si>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</si>
  <si>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</si>
  <si>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</si>
  <si>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</si>
  <si>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</si>
  <si>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</si>
  <si>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</si>
  <si>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</si>
  <si>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</si>
  <si>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</si>
  <si>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</si>
  <si>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</si>
  <si>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</si>
  <si>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</si>
  <si>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</si>
  <si>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</si>
  <si>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</si>
  <si>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</si>
  <si>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</si>
  <si>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</si>
  <si>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</si>
  <si>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</si>
  <si>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</si>
  <si>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</si>
  <si>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</si>
  <si>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</si>
  <si>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</si>
  <si>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</si>
  <si>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</si>
  <si>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</si>
  <si>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</si>
  <si>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</si>
  <si>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</si>
  <si>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</si>
  <si>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</si>
  <si>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</si>
  <si>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</si>
  <si>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</si>
  <si>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</si>
  <si>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</si>
  <si>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</si>
  <si>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</si>
  <si>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</si>
  <si>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</si>
  <si>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</si>
  <si>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</si>
  <si>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</si>
  <si>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</si>
  <si>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</si>
  <si>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</si>
  <si>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</si>
  <si>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</si>
  <si>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</si>
  <si>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</si>
  <si>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</si>
  <si>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</si>
  <si>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</si>
  <si>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</si>
  <si>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</si>
  <si>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</si>
  <si>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</si>
  <si>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</si>
  <si>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</si>
  <si>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</si>
  <si>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</si>
  <si>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</si>
  <si>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</si>
  <si>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</si>
  <si>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</si>
  <si>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</si>
  <si>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</si>
  <si>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</si>
  <si>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</si>
  <si>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</si>
  <si>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</si>
  <si>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</si>
  <si>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</si>
  <si>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</si>
  <si>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</si>
  <si>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</si>
  <si>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</si>
  <si>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</si>
  <si>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</si>
  <si>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</si>
  <si>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</si>
  <si>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</si>
  <si>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</si>
  <si>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</si>
  <si>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</si>
  <si>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</si>
  <si>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</si>
  <si>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</si>
  <si>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</si>
  <si>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</si>
  <si>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</si>
  <si>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</si>
  <si>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</si>
  <si>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</si>
  <si>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</si>
  <si>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</si>
  <si>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</si>
  <si>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</si>
  <si>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</si>
  <si>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</si>
  <si>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</si>
  <si>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</si>
  <si>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</si>
  <si>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</si>
  <si>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</si>
  <si>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</si>
  <si>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</si>
  <si>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</si>
  <si>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</si>
  <si>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</si>
  <si>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</si>
  <si>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</si>
  <si>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</si>
  <si>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</si>
  <si>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</si>
  <si>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</si>
  <si>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</si>
  <si>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</si>
  <si>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</si>
  <si>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</si>
  <si>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</si>
  <si>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</si>
  <si>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</si>
  <si>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</si>
  <si>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</si>
  <si>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</si>
  <si>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</si>
  <si>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</si>
  <si>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</si>
  <si>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</si>
  <si>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</si>
  <si>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</si>
  <si>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</si>
  <si>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</si>
  <si>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</si>
  <si>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</si>
  <si>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</si>
  <si>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</si>
  <si>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</si>
  <si>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</si>
  <si>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</si>
  <si>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</si>
  <si>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</si>
  <si>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</si>
  <si>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</si>
  <si>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</si>
  <si>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</si>
  <si>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</si>
  <si>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</si>
  <si>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</si>
  <si>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</si>
  <si>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</si>
  <si>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</si>
  <si>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</si>
  <si>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</si>
  <si>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</si>
  <si>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</si>
  <si>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</si>
  <si>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</si>
  <si>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</si>
  <si>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</si>
  <si>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</si>
  <si>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</si>
  <si>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</si>
  <si>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</si>
  <si>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</si>
  <si>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</si>
  <si>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</si>
  <si>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</si>
  <si>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</si>
  <si>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</si>
  <si>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</si>
  <si>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</si>
  <si>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</si>
  <si>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</si>
  <si>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</si>
  <si>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</si>
  <si>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</si>
  <si>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</si>
  <si>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</si>
  <si>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</si>
  <si>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</si>
  <si>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</si>
  <si>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</si>
  <si>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</si>
  <si>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</si>
  <si>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</si>
  <si>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</si>
  <si>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</si>
  <si>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</si>
  <si>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</si>
  <si>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</si>
  <si>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</si>
  <si>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</si>
  <si>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</si>
  <si>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</si>
  <si>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</si>
  <si>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</si>
  <si>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</si>
  <si>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</si>
  <si>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</si>
  <si>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</si>
  <si>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</si>
  <si>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</si>
  <si>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</si>
  <si>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</si>
  <si>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</si>
  <si>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</si>
  <si>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</si>
  <si>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</si>
  <si>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</si>
  <si>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</si>
  <si>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</si>
  <si>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</si>
  <si>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</si>
  <si>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</si>
  <si>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</si>
  <si>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</si>
  <si>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</si>
  <si>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</si>
  <si>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</si>
  <si>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</si>
  <si>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</si>
  <si>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</si>
  <si>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</si>
  <si>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</si>
  <si>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</si>
  <si>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</si>
  <si>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</si>
  <si>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</si>
  <si>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</si>
  <si>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</si>
  <si>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</si>
  <si>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</si>
  <si>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</si>
  <si>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</si>
  <si>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</si>
  <si>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</si>
  <si>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</si>
  <si>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</si>
  <si>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</si>
  <si>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</si>
  <si>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</si>
  <si>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</si>
  <si>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</si>
  <si>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</si>
  <si>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</si>
  <si>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</si>
  <si>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</si>
  <si>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</si>
  <si>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</si>
  <si>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</si>
  <si>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</si>
  <si>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</si>
  <si>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</si>
  <si>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</si>
  <si>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</si>
  <si>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</si>
  <si>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</si>
  <si>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</si>
  <si>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</si>
  <si>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</si>
  <si>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</si>
  <si>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</si>
  <si>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</si>
  <si>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</si>
  <si>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</si>
  <si>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</si>
  <si>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</si>
  <si>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</si>
  <si>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</si>
  <si>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</si>
  <si>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</si>
  <si>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</si>
  <si>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</si>
  <si>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</si>
  <si>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</si>
  <si>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</si>
  <si>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</si>
  <si>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</si>
  <si>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</si>
  <si>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</si>
  <si>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</si>
  <si>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</si>
  <si>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</si>
  <si>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</si>
  <si>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</si>
  <si>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</si>
  <si>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</si>
  <si>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</si>
  <si>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</si>
  <si>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</si>
  <si>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</si>
  <si>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</si>
  <si>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</si>
  <si>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</si>
  <si>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</si>
  <si>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</si>
  <si>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</si>
  <si>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</si>
  <si>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</si>
  <si>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</si>
  <si>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</si>
  <si>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</si>
  <si>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</si>
  <si>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</si>
  <si>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</si>
  <si>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</si>
  <si>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</si>
  <si>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</si>
  <si>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</si>
  <si>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</si>
  <si>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</si>
  <si>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</si>
  <si>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</si>
  <si>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</si>
  <si>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</si>
  <si>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</si>
  <si>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</si>
  <si>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</si>
  <si>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</si>
  <si>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</si>
  <si>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</si>
  <si>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</si>
  <si>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</si>
  <si>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</si>
  <si>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</si>
  <si>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</si>
  <si>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</si>
  <si>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</si>
  <si>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</si>
  <si>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</si>
  <si>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</si>
  <si>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</si>
  <si>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</si>
  <si>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</si>
  <si>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</si>
  <si>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</si>
  <si>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</si>
  <si>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</si>
  <si>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</si>
  <si>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</si>
  <si>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</si>
  <si>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</si>
  <si>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</si>
  <si>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</si>
  <si>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</si>
  <si>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</si>
  <si>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</si>
  <si>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</si>
  <si>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</si>
  <si>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</si>
  <si>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</si>
  <si>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</si>
  <si>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</si>
  <si>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</si>
  <si>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</si>
  <si>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</si>
  <si>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</si>
  <si>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</si>
  <si>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</si>
  <si>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</si>
  <si>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</si>
  <si>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</si>
  <si>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</si>
  <si>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</si>
  <si>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</si>
  <si>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</si>
  <si>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</si>
  <si>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</si>
  <si>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</si>
  <si>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</si>
  <si>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</si>
  <si>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</si>
  <si>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</si>
  <si>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</si>
  <si>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</si>
  <si>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</si>
  <si>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</si>
  <si>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</si>
  <si>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</si>
  <si>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</si>
  <si>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</si>
  <si>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</si>
  <si>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</si>
  <si>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</si>
  <si>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</si>
  <si>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</si>
  <si>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</si>
  <si>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</si>
  <si>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</si>
  <si>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</si>
  <si>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</si>
  <si>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</si>
  <si>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</si>
  <si>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</si>
  <si>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</si>
  <si>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</si>
  <si>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</si>
  <si>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</si>
  <si>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</si>
  <si>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</si>
  <si>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</si>
  <si>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</si>
  <si>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</si>
  <si>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</si>
  <si>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</si>
  <si>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</si>
  <si>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</si>
  <si>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</si>
  <si>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</si>
  <si>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</si>
  <si>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</si>
  <si>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</si>
  <si>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</si>
  <si>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</si>
  <si>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</si>
  <si>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</si>
  <si>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</si>
  <si>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</si>
  <si>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</si>
  <si>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</si>
  <si>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</si>
  <si>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</si>
  <si>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</si>
  <si>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</si>
  <si>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</si>
  <si>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</si>
  <si>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</si>
  <si>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</si>
  <si>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</si>
  <si>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</si>
  <si>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</si>
  <si>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</si>
  <si>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</si>
  <si>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</si>
  <si>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</si>
  <si>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</si>
  <si>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</si>
  <si>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</si>
  <si>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</si>
  <si>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</si>
  <si>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</si>
  <si>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</si>
  <si>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</si>
  <si>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</si>
  <si>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</si>
  <si>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</si>
  <si>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</si>
  <si>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</si>
  <si>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</si>
  <si>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</si>
  <si>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</si>
  <si>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</si>
  <si>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</si>
  <si>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</si>
  <si>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</si>
  <si>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</si>
  <si>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</si>
  <si>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</si>
  <si>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</si>
  <si>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</si>
  <si>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</si>
  <si>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</si>
  <si>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</si>
  <si>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</si>
  <si>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</si>
  <si>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</si>
  <si>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</si>
  <si>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</si>
  <si>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</si>
  <si>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</si>
  <si>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</si>
  <si>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</si>
  <si>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</si>
  <si>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</si>
  <si>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</si>
  <si>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</si>
  <si>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</si>
  <si>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</si>
  <si>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</si>
  <si>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</si>
  <si>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</si>
  <si>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</si>
  <si>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</si>
  <si>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</si>
  <si>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</si>
  <si>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</si>
  <si>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</si>
  <si>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</si>
  <si>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</si>
  <si>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</si>
  <si>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</si>
  <si>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</si>
  <si>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</si>
  <si>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</si>
  <si>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</si>
  <si>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</si>
  <si>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</si>
  <si>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</si>
  <si>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</si>
  <si>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</si>
  <si>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</si>
  <si>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</si>
  <si>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</si>
  <si>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</si>
  <si>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</si>
  <si>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</si>
  <si>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</si>
  <si>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</si>
  <si>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</si>
  <si>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</si>
  <si>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</si>
  <si>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</si>
  <si>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</si>
  <si>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</si>
  <si>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</si>
  <si>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</si>
  <si>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</si>
  <si>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</si>
  <si>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</si>
  <si>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</si>
  <si>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</si>
  <si>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</si>
  <si>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</si>
  <si>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</si>
  <si>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</si>
  <si>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</si>
  <si>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</si>
  <si>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</si>
  <si>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</si>
  <si>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</si>
  <si>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</si>
  <si>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</si>
  <si>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</si>
  <si>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</si>
  <si>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</si>
  <si>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</si>
  <si>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</si>
  <si>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</si>
  <si>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</si>
  <si>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</si>
  <si>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</si>
  <si>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</si>
  <si>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</si>
  <si>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</si>
  <si>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</si>
  <si>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</si>
  <si>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</si>
  <si>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</si>
  <si>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</si>
  <si>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</si>
  <si>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</si>
  <si>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</si>
  <si>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</si>
  <si>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</si>
  <si>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</si>
  <si>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</si>
  <si>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</si>
  <si>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</si>
  <si>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</si>
  <si>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</si>
  <si>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</si>
  <si>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</si>
  <si>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</si>
  <si>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</si>
  <si>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</si>
  <si>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</si>
  <si>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</si>
  <si>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</si>
  <si>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</si>
  <si>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</si>
  <si>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</si>
  <si>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</si>
  <si>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</si>
  <si>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</si>
  <si>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</si>
  <si>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</si>
  <si>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</si>
  <si>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</si>
  <si>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</si>
  <si>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</si>
  <si>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</si>
  <si>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</si>
  <si>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</si>
  <si>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</si>
  <si>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</si>
  <si>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</si>
  <si>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</si>
  <si>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</si>
  <si>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</si>
  <si>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</si>
  <si>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</si>
  <si>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</si>
  <si>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</si>
  <si>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</si>
  <si>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</si>
  <si>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</si>
  <si>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</si>
  <si>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</si>
  <si>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</si>
  <si>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</si>
  <si>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</si>
  <si>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</si>
  <si>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</si>
  <si>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</si>
  <si>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</si>
  <si>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</si>
  <si>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</si>
  <si>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</si>
  <si>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</si>
  <si>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</si>
  <si>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</si>
  <si>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</si>
  <si>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</si>
  <si>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</si>
  <si>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</si>
  <si>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</si>
  <si>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</si>
  <si>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</si>
  <si>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</si>
  <si>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</si>
  <si>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</si>
  <si>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</si>
  <si>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</si>
  <si>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</si>
  <si>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</si>
  <si>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</si>
  <si>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</si>
  <si>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</si>
  <si>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</si>
  <si>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</si>
  <si>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</si>
  <si>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</si>
  <si>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</si>
  <si>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</si>
  <si>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</si>
  <si>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</si>
  <si>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</si>
  <si>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</si>
  <si>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</si>
  <si>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</si>
  <si>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</si>
  <si>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</si>
  <si>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</si>
  <si>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</si>
  <si>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</si>
  <si>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</si>
  <si>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</si>
  <si>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</si>
  <si>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</si>
  <si>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</si>
  <si>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</si>
  <si>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</si>
  <si>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</si>
  <si>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</si>
  <si>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</si>
  <si>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</si>
  <si>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</si>
  <si>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</si>
  <si>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</si>
  <si>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</si>
  <si>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</si>
  <si>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</si>
  <si>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</si>
  <si>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</si>
  <si>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</si>
  <si>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</si>
  <si>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</si>
  <si>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</si>
  <si>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</si>
  <si>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</si>
  <si>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</si>
  <si>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</si>
  <si>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</si>
  <si>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</si>
  <si>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</si>
  <si>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</si>
  <si>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</si>
  <si>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</si>
  <si>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</si>
  <si>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</si>
  <si>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</si>
  <si>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</si>
  <si>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</si>
  <si>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</si>
  <si>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</si>
  <si>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</si>
  <si>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</si>
  <si>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</si>
  <si>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</si>
  <si>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</si>
  <si>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</si>
  <si>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</si>
  <si>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</si>
  <si>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</si>
  <si>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</si>
  <si>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</si>
  <si>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</si>
  <si>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</si>
  <si>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</si>
  <si>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</si>
  <si>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</si>
  <si>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</si>
  <si>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</si>
  <si>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</si>
  <si>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</si>
  <si>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</si>
  <si>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</si>
  <si>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</si>
  <si>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</si>
  <si>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</si>
  <si>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</si>
  <si>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</si>
  <si>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</si>
  <si>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</si>
  <si>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</si>
  <si>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</si>
  <si>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</si>
  <si>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Главен счетоводител</t>
  </si>
  <si>
    <t>Валентина Тодорова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</si>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</sst>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44012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44102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Валентина Тодорова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44012</v>
      </c>
    </row>
    <row r="11" spans="1:2" ht="15.75">
      <c r="A11" s="7" t="s">
        <v>950</v>
      </c>
      <c r="B11" s="547">
        <v>44102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-0.10487982520029134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-0.07248393687264974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-0.0372296742403504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-0.021215929280235732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0.9108768748347124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0.824604004781829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0.5189405260011954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0.22709952181709503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0.044586820083682005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0.3936220445883504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0.20228799237335876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0.26566067274031874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1.9469398632043347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0.5698661004463318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223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0.0066029076481212805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0.07405562474055624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36.85762331838565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12140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7014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11331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1267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4385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360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6091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883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43471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123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41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92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145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7822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7822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397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197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200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397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24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18498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447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18969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312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71239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3765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2231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2749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6794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20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15559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337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3462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198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524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153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361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6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10583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15624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9760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9771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148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2108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116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15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2387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805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44146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115385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2323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2323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2323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2577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9316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30671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1827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28840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42564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-8666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7796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-16462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-2448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-11114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33773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15858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5620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4862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711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11193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335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690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12218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5903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4078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27382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271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19960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4310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1763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638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440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3001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40365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9797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3123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251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53536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115385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3384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1170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1561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4635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942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14130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12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218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26052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223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188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417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26469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26469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76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76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13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26545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6388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14949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822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1182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23341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187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160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18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544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562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24090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2379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20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24110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2359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2435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2448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26545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32528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-22813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-4914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-225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-25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-80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-6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-60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4405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-3643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-44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-8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-161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-3851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2870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-3077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-137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21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-323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231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2156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2387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2271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116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2323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2323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2323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2323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2577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2577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2577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2577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9316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9316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9316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9316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1844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1844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-20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1827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1827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30594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30594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168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168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-1922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28840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28840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7469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7469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-171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-171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498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7796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7796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-15289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-15289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-2448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-1173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-18910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-18910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38838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38838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-2448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-2617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33773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33773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27115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27115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13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-11270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15858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15858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11230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16299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31895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2874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6590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1419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6242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2517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79066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295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109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167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532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808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349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349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349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7844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88362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910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486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27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2647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231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32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4333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14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20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208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8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200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208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4561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2060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9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382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21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2472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1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160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160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160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22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2655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12140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16785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31922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2874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7177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1410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6091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2528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80927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295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123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173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531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827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397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197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200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397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7822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90268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12140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16785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31922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2874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7177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1410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6091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2528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80927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295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123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173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531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827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397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197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200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397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7822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90268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9570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19894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1560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2453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1025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1604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36106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167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103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118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420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641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36914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201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697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47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504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25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41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1515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5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8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14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19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41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1561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165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165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165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9771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20591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1607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2792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1050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1645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37456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172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111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132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439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682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38310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9771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20591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1607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2792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1050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1645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37456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172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111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132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439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682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38310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12140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7014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11331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1267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4385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360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6091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883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43471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123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12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41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92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145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397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197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200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397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7822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51958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1758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24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18945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18498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447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18969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312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337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337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3462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198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524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147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6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361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356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10589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71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10518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15624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36663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1758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268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337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337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2874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122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459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31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360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356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10458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35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10423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14641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16667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24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18945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18498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447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18969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44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588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76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65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116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6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1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1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131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36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95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983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19996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5620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5620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4862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711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30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11193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335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271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271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5903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5903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4078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4077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27111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19960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4310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1763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440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111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34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295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638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3001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40364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51892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271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271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5697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5697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4078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4077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26429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19434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4310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1607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440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111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34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295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638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2774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39249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39249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5620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5620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4862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711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30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11193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335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206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206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682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526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156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227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1115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12643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80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81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80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80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397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397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11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11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397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397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11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45" sqref="G4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12140</v>
      </c>
      <c r="D12" s="188">
        <v>11230</v>
      </c>
      <c r="E12" s="84" t="s">
        <v>25</v>
      </c>
      <c r="F12" s="87" t="s">
        <v>26</v>
      </c>
      <c r="G12" s="188">
        <v>2323</v>
      </c>
      <c r="H12" s="187">
        <v>2323</v>
      </c>
    </row>
    <row r="13" spans="1:8" ht="15.75">
      <c r="A13" s="84" t="s">
        <v>27</v>
      </c>
      <c r="B13" s="86" t="s">
        <v>28</v>
      </c>
      <c r="C13" s="188">
        <v>7014</v>
      </c>
      <c r="D13" s="188">
        <v>6729</v>
      </c>
      <c r="E13" s="84" t="s">
        <v>821</v>
      </c>
      <c r="F13" s="87" t="s">
        <v>29</v>
      </c>
      <c r="G13" s="188">
        <v>2323</v>
      </c>
      <c r="H13" s="187">
        <v>2300</v>
      </c>
    </row>
    <row r="14" spans="1:8" ht="15.75">
      <c r="A14" s="84" t="s">
        <v>30</v>
      </c>
      <c r="B14" s="86" t="s">
        <v>31</v>
      </c>
      <c r="C14" s="188">
        <v>11331</v>
      </c>
      <c r="D14" s="188">
        <v>12001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1267</v>
      </c>
      <c r="D15" s="188">
        <v>1314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4385</v>
      </c>
      <c r="D16" s="188">
        <v>3920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360</v>
      </c>
      <c r="D17" s="188">
        <v>394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6091</v>
      </c>
      <c r="D18" s="188">
        <v>6242</v>
      </c>
      <c r="E18" s="468" t="s">
        <v>47</v>
      </c>
      <c r="F18" s="467" t="s">
        <v>48</v>
      </c>
      <c r="G18" s="578">
        <f>G12+G15+G16+G17</f>
        <v>2323</v>
      </c>
      <c r="H18" s="579">
        <f>H12+H15+H16+H17</f>
        <v>2323</v>
      </c>
    </row>
    <row r="19" spans="1:8" ht="15.75">
      <c r="A19" s="84" t="s">
        <v>49</v>
      </c>
      <c r="B19" s="86" t="s">
        <v>50</v>
      </c>
      <c r="C19" s="188">
        <v>883</v>
      </c>
      <c r="D19" s="188">
        <v>913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43471</v>
      </c>
      <c r="D20" s="567">
        <f>SUM(D12:D19)</f>
        <v>42743</v>
      </c>
      <c r="E20" s="84" t="s">
        <v>54</v>
      </c>
      <c r="F20" s="87" t="s">
        <v>55</v>
      </c>
      <c r="G20" s="188">
        <v>2577</v>
      </c>
      <c r="H20" s="187">
        <v>2577</v>
      </c>
    </row>
    <row r="21" spans="1:8" ht="15.75">
      <c r="A21" s="94" t="s">
        <v>56</v>
      </c>
      <c r="B21" s="90" t="s">
        <v>57</v>
      </c>
      <c r="C21" s="463">
        <v>123</v>
      </c>
      <c r="D21" s="464">
        <v>128</v>
      </c>
      <c r="E21" s="84" t="s">
        <v>58</v>
      </c>
      <c r="F21" s="87" t="s">
        <v>59</v>
      </c>
      <c r="G21" s="188">
        <v>9316</v>
      </c>
      <c r="H21" s="187">
        <v>9316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30671</v>
      </c>
      <c r="H22" s="583">
        <f>SUM(H23:H25)</f>
        <v>32442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1827</v>
      </c>
      <c r="H23" s="188">
        <v>1844</v>
      </c>
    </row>
    <row r="24" spans="1:13" ht="15.75">
      <c r="A24" s="84" t="s">
        <v>67</v>
      </c>
      <c r="B24" s="86" t="s">
        <v>68</v>
      </c>
      <c r="C24" s="188">
        <v>12</v>
      </c>
      <c r="D24" s="188">
        <v>6</v>
      </c>
      <c r="E24" s="193" t="s">
        <v>69</v>
      </c>
      <c r="F24" s="87" t="s">
        <v>70</v>
      </c>
      <c r="G24" s="188">
        <v>4</v>
      </c>
      <c r="H24" s="188">
        <v>4</v>
      </c>
      <c r="M24" s="92"/>
    </row>
    <row r="25" spans="1:8" ht="15.75">
      <c r="A25" s="84" t="s">
        <v>71</v>
      </c>
      <c r="B25" s="86" t="s">
        <v>72</v>
      </c>
      <c r="C25" s="188">
        <v>41</v>
      </c>
      <c r="D25" s="188">
        <v>49</v>
      </c>
      <c r="E25" s="84" t="s">
        <v>73</v>
      </c>
      <c r="F25" s="87" t="s">
        <v>74</v>
      </c>
      <c r="G25" s="188">
        <v>28840</v>
      </c>
      <c r="H25" s="188">
        <v>30594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42564</v>
      </c>
      <c r="H26" s="567">
        <f>H20+H21+H22</f>
        <v>44335</v>
      </c>
      <c r="M26" s="92"/>
    </row>
    <row r="27" spans="1:8" ht="15.75">
      <c r="A27" s="84" t="s">
        <v>79</v>
      </c>
      <c r="B27" s="86" t="s">
        <v>80</v>
      </c>
      <c r="C27" s="188">
        <v>92</v>
      </c>
      <c r="D27" s="188">
        <v>112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145</v>
      </c>
      <c r="D28" s="567">
        <f>SUM(D24:D27)</f>
        <v>167</v>
      </c>
      <c r="E28" s="193" t="s">
        <v>84</v>
      </c>
      <c r="F28" s="87" t="s">
        <v>85</v>
      </c>
      <c r="G28" s="564">
        <f>SUM(G29:G31)</f>
        <v>-8666</v>
      </c>
      <c r="H28" s="565">
        <f>SUM(H29:H31)</f>
        <v>-4398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7796</v>
      </c>
      <c r="H29" s="187">
        <v>7469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-16462</v>
      </c>
      <c r="H30" s="187">
        <v>-11867</v>
      </c>
      <c r="M30" s="92"/>
    </row>
    <row r="31" spans="1:8" ht="15.75">
      <c r="A31" s="84" t="s">
        <v>91</v>
      </c>
      <c r="B31" s="86" t="s">
        <v>92</v>
      </c>
      <c r="C31" s="188">
        <v>7822</v>
      </c>
      <c r="D31" s="187">
        <v>7844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7822</v>
      </c>
      <c r="D33" s="567">
        <f>D31+D32</f>
        <v>7844</v>
      </c>
      <c r="E33" s="191" t="s">
        <v>101</v>
      </c>
      <c r="F33" s="87" t="s">
        <v>102</v>
      </c>
      <c r="G33" s="188">
        <v>-2448</v>
      </c>
      <c r="H33" s="187">
        <v>-3422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-11114</v>
      </c>
      <c r="H34" s="567">
        <f>H28+H32+H33</f>
        <v>-7820</v>
      </c>
    </row>
    <row r="35" spans="1:8" ht="15.75">
      <c r="A35" s="84" t="s">
        <v>106</v>
      </c>
      <c r="B35" s="88" t="s">
        <v>107</v>
      </c>
      <c r="C35" s="564">
        <f>SUM(C36:C39)</f>
        <v>397</v>
      </c>
      <c r="D35" s="565">
        <f>SUM(D36:D39)</f>
        <v>349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33773</v>
      </c>
      <c r="H37" s="569">
        <f>H26+H18+H34</f>
        <v>38838</v>
      </c>
    </row>
    <row r="38" spans="1:13" ht="15.75">
      <c r="A38" s="84" t="s">
        <v>113</v>
      </c>
      <c r="B38" s="86" t="s">
        <v>114</v>
      </c>
      <c r="C38" s="188">
        <v>197</v>
      </c>
      <c r="D38" s="187">
        <v>349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200</v>
      </c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15858</v>
      </c>
      <c r="H40" s="552">
        <v>27115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5620</v>
      </c>
      <c r="H45" s="187">
        <v>9611</v>
      </c>
    </row>
    <row r="46" spans="1:13" ht="15.75">
      <c r="A46" s="460" t="s">
        <v>137</v>
      </c>
      <c r="B46" s="90" t="s">
        <v>138</v>
      </c>
      <c r="C46" s="566">
        <f>C35+C40+C45</f>
        <v>397</v>
      </c>
      <c r="D46" s="567">
        <f>D35+D40+D45</f>
        <v>349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4862</v>
      </c>
      <c r="H47" s="187">
        <v>3549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24</v>
      </c>
      <c r="D49" s="187">
        <v>24</v>
      </c>
      <c r="E49" s="84" t="s">
        <v>150</v>
      </c>
      <c r="F49" s="87" t="s">
        <v>151</v>
      </c>
      <c r="G49" s="188">
        <v>711</v>
      </c>
      <c r="H49" s="187">
        <v>671</v>
      </c>
    </row>
    <row r="50" spans="1:8" ht="15.75">
      <c r="A50" s="84" t="s">
        <v>152</v>
      </c>
      <c r="B50" s="86" t="s">
        <v>153</v>
      </c>
      <c r="C50" s="188">
        <v>18498</v>
      </c>
      <c r="D50" s="187">
        <v>30556</v>
      </c>
      <c r="E50" s="192" t="s">
        <v>52</v>
      </c>
      <c r="F50" s="89" t="s">
        <v>154</v>
      </c>
      <c r="G50" s="564">
        <f>SUM(G44:G49)</f>
        <v>11193</v>
      </c>
      <c r="H50" s="565">
        <f>SUM(H44:H49)</f>
        <v>13831</v>
      </c>
    </row>
    <row r="51" spans="1:8" ht="15.75">
      <c r="A51" s="84" t="s">
        <v>79</v>
      </c>
      <c r="B51" s="86" t="s">
        <v>155</v>
      </c>
      <c r="C51" s="188">
        <v>447</v>
      </c>
      <c r="D51" s="187">
        <v>506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18969</v>
      </c>
      <c r="D52" s="567">
        <f>SUM(D48:D51)</f>
        <v>31086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335</v>
      </c>
      <c r="H54" s="187">
        <v>335</v>
      </c>
    </row>
    <row r="55" spans="1:8" ht="15.75">
      <c r="A55" s="94" t="s">
        <v>166</v>
      </c>
      <c r="B55" s="90" t="s">
        <v>167</v>
      </c>
      <c r="C55" s="465">
        <v>312</v>
      </c>
      <c r="D55" s="466">
        <v>313</v>
      </c>
      <c r="E55" s="84" t="s">
        <v>168</v>
      </c>
      <c r="F55" s="89" t="s">
        <v>169</v>
      </c>
      <c r="G55" s="188">
        <v>690</v>
      </c>
      <c r="H55" s="187">
        <v>737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71239</v>
      </c>
      <c r="D56" s="571">
        <f>D20+D21+D22+D28+D33+D46+D52+D54+D55</f>
        <v>82630</v>
      </c>
      <c r="E56" s="94" t="s">
        <v>825</v>
      </c>
      <c r="F56" s="93" t="s">
        <v>172</v>
      </c>
      <c r="G56" s="568">
        <f>G50+G52+G53+G54+G55</f>
        <v>12218</v>
      </c>
      <c r="H56" s="569">
        <f>H50+H52+H53+H54+H55</f>
        <v>14903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3765</v>
      </c>
      <c r="D59" s="188">
        <v>3871</v>
      </c>
      <c r="E59" s="192" t="s">
        <v>180</v>
      </c>
      <c r="F59" s="473" t="s">
        <v>181</v>
      </c>
      <c r="G59" s="188">
        <v>5903</v>
      </c>
      <c r="H59" s="187">
        <v>6066</v>
      </c>
    </row>
    <row r="60" spans="1:13" ht="15.75">
      <c r="A60" s="84" t="s">
        <v>178</v>
      </c>
      <c r="B60" s="86" t="s">
        <v>179</v>
      </c>
      <c r="C60" s="188">
        <v>2231</v>
      </c>
      <c r="D60" s="188">
        <v>2942</v>
      </c>
      <c r="E60" s="84" t="s">
        <v>184</v>
      </c>
      <c r="F60" s="87" t="s">
        <v>185</v>
      </c>
      <c r="G60" s="188">
        <v>4078</v>
      </c>
      <c r="H60" s="187">
        <v>5436</v>
      </c>
      <c r="M60" s="92"/>
    </row>
    <row r="61" spans="1:8" ht="15.75">
      <c r="A61" s="84" t="s">
        <v>182</v>
      </c>
      <c r="B61" s="86" t="s">
        <v>183</v>
      </c>
      <c r="C61" s="188">
        <v>2749</v>
      </c>
      <c r="D61" s="188">
        <v>2532</v>
      </c>
      <c r="E61" s="191" t="s">
        <v>188</v>
      </c>
      <c r="F61" s="87" t="s">
        <v>189</v>
      </c>
      <c r="G61" s="564">
        <f>SUM(G62:G68)</f>
        <v>27382</v>
      </c>
      <c r="H61" s="565">
        <f>SUM(H62:H68)</f>
        <v>24937</v>
      </c>
    </row>
    <row r="62" spans="1:13" ht="15.75">
      <c r="A62" s="84" t="s">
        <v>186</v>
      </c>
      <c r="B62" s="88" t="s">
        <v>187</v>
      </c>
      <c r="C62" s="188">
        <v>6794</v>
      </c>
      <c r="D62" s="188">
        <v>6147</v>
      </c>
      <c r="E62" s="191" t="s">
        <v>192</v>
      </c>
      <c r="F62" s="87" t="s">
        <v>193</v>
      </c>
      <c r="G62" s="188">
        <v>271</v>
      </c>
      <c r="H62" s="188">
        <v>382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20</v>
      </c>
      <c r="D64" s="188">
        <v>22</v>
      </c>
      <c r="E64" s="84" t="s">
        <v>199</v>
      </c>
      <c r="F64" s="87" t="s">
        <v>200</v>
      </c>
      <c r="G64" s="188">
        <v>19960</v>
      </c>
      <c r="H64" s="188">
        <v>20377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15559</v>
      </c>
      <c r="D65" s="567">
        <f>SUM(D59:D64)</f>
        <v>15514</v>
      </c>
      <c r="E65" s="84" t="s">
        <v>201</v>
      </c>
      <c r="F65" s="87" t="s">
        <v>202</v>
      </c>
      <c r="G65" s="188">
        <v>4310</v>
      </c>
      <c r="H65" s="188">
        <v>1691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1763</v>
      </c>
      <c r="H66" s="188">
        <v>1565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638</v>
      </c>
      <c r="H67" s="188">
        <v>421</v>
      </c>
    </row>
    <row r="68" spans="1:8" ht="15.75">
      <c r="A68" s="84" t="s">
        <v>206</v>
      </c>
      <c r="B68" s="86" t="s">
        <v>207</v>
      </c>
      <c r="C68" s="188">
        <v>337</v>
      </c>
      <c r="D68" s="188">
        <v>598</v>
      </c>
      <c r="E68" s="84" t="s">
        <v>212</v>
      </c>
      <c r="F68" s="87" t="s">
        <v>213</v>
      </c>
      <c r="G68" s="188">
        <v>440</v>
      </c>
      <c r="H68" s="188">
        <v>501</v>
      </c>
    </row>
    <row r="69" spans="1:8" ht="15.75">
      <c r="A69" s="84" t="s">
        <v>210</v>
      </c>
      <c r="B69" s="86" t="s">
        <v>211</v>
      </c>
      <c r="C69" s="188">
        <v>3462</v>
      </c>
      <c r="D69" s="188">
        <v>2673</v>
      </c>
      <c r="E69" s="192" t="s">
        <v>79</v>
      </c>
      <c r="F69" s="87" t="s">
        <v>216</v>
      </c>
      <c r="G69" s="188">
        <v>3001</v>
      </c>
      <c r="H69" s="188">
        <v>2958</v>
      </c>
    </row>
    <row r="70" spans="1:8" ht="15.75">
      <c r="A70" s="84" t="s">
        <v>214</v>
      </c>
      <c r="B70" s="86" t="s">
        <v>215</v>
      </c>
      <c r="C70" s="188">
        <v>198</v>
      </c>
      <c r="D70" s="188">
        <v>78</v>
      </c>
      <c r="E70" s="84" t="s">
        <v>219</v>
      </c>
      <c r="F70" s="87" t="s">
        <v>220</v>
      </c>
      <c r="G70" s="188">
        <v>1</v>
      </c>
      <c r="H70" s="188">
        <v>84</v>
      </c>
    </row>
    <row r="71" spans="1:8" ht="15.75">
      <c r="A71" s="84" t="s">
        <v>217</v>
      </c>
      <c r="B71" s="86" t="s">
        <v>218</v>
      </c>
      <c r="C71" s="188">
        <v>524</v>
      </c>
      <c r="D71" s="188">
        <v>66</v>
      </c>
      <c r="E71" s="461" t="s">
        <v>47</v>
      </c>
      <c r="F71" s="89" t="s">
        <v>223</v>
      </c>
      <c r="G71" s="566">
        <f>G59+G60+G61+G69+G70</f>
        <v>40365</v>
      </c>
      <c r="H71" s="567">
        <f>H59+H60+H61+H69+H70</f>
        <v>39481</v>
      </c>
    </row>
    <row r="72" spans="1:8" ht="15.75">
      <c r="A72" s="84" t="s">
        <v>221</v>
      </c>
      <c r="B72" s="86" t="s">
        <v>222</v>
      </c>
      <c r="C72" s="188">
        <v>153</v>
      </c>
      <c r="D72" s="188">
        <v>149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361</v>
      </c>
      <c r="D73" s="188">
        <v>568</v>
      </c>
      <c r="E73" s="460" t="s">
        <v>230</v>
      </c>
      <c r="F73" s="89" t="s">
        <v>231</v>
      </c>
      <c r="G73" s="465">
        <v>9797</v>
      </c>
      <c r="H73" s="466">
        <v>8019</v>
      </c>
    </row>
    <row r="74" spans="1:8" ht="15.75">
      <c r="A74" s="84" t="s">
        <v>226</v>
      </c>
      <c r="B74" s="86" t="s">
        <v>227</v>
      </c>
      <c r="C74" s="188">
        <v>6</v>
      </c>
      <c r="D74" s="188">
        <v>4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10583</v>
      </c>
      <c r="D75" s="188">
        <v>19252</v>
      </c>
      <c r="E75" s="472" t="s">
        <v>160</v>
      </c>
      <c r="F75" s="89" t="s">
        <v>233</v>
      </c>
      <c r="G75" s="465">
        <v>3123</v>
      </c>
      <c r="H75" s="466">
        <v>3800</v>
      </c>
    </row>
    <row r="76" spans="1:8" ht="15.75">
      <c r="A76" s="469" t="s">
        <v>77</v>
      </c>
      <c r="B76" s="90" t="s">
        <v>232</v>
      </c>
      <c r="C76" s="566">
        <f>SUM(C68:C75)</f>
        <v>15624</v>
      </c>
      <c r="D76" s="567">
        <f>SUM(D68:D75)</f>
        <v>23388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251</v>
      </c>
      <c r="H77" s="466">
        <v>270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53536</v>
      </c>
      <c r="H79" s="569">
        <f>H71+H73+H75+H77</f>
        <v>51570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11</v>
      </c>
      <c r="D83" s="187">
        <v>11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9760</v>
      </c>
      <c r="D84" s="187">
        <v>7982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9771</v>
      </c>
      <c r="D85" s="567">
        <f>D84+D83+D79</f>
        <v>7993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148</v>
      </c>
      <c r="D88" s="187">
        <v>134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2108</v>
      </c>
      <c r="D89" s="187">
        <v>1906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116</v>
      </c>
      <c r="D90" s="187">
        <v>101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15</v>
      </c>
      <c r="D91" s="187">
        <v>15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2387</v>
      </c>
      <c r="D92" s="567">
        <f>SUM(D88:D91)</f>
        <v>2156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805</v>
      </c>
      <c r="D93" s="466">
        <v>745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44146</v>
      </c>
      <c r="D94" s="571">
        <f>D65+D76+D85+D92+D93</f>
        <v>49796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115385</v>
      </c>
      <c r="D95" s="573">
        <f>D94+D56</f>
        <v>132426</v>
      </c>
      <c r="E95" s="220" t="s">
        <v>916</v>
      </c>
      <c r="F95" s="476" t="s">
        <v>268</v>
      </c>
      <c r="G95" s="572">
        <f>G37+G40+G56+G79</f>
        <v>115385</v>
      </c>
      <c r="H95" s="573">
        <f>H37+H40+H56+H79</f>
        <v>132426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0">
        <f>pdeReportingDate</f>
        <v>44102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Валентина Тодорова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973</v>
      </c>
      <c r="C103" s="669"/>
      <c r="D103" s="669"/>
      <c r="E103" s="669"/>
      <c r="M103" s="92"/>
    </row>
    <row r="104" spans="1:5" ht="21.75" customHeight="1">
      <c r="A104" s="663"/>
      <c r="B104" s="669"/>
      <c r="C104" s="669"/>
      <c r="D104" s="669"/>
      <c r="E104" s="669"/>
    </row>
    <row r="105" spans="1:13" ht="21.75" customHeight="1">
      <c r="A105" s="663"/>
      <c r="B105" s="669"/>
      <c r="C105" s="669"/>
      <c r="D105" s="669"/>
      <c r="E105" s="669"/>
      <c r="M105" s="92"/>
    </row>
    <row r="106" spans="1:5" ht="21.75" customHeight="1">
      <c r="A106" s="663"/>
      <c r="B106" s="669"/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3384</v>
      </c>
      <c r="D12" s="308">
        <v>6252</v>
      </c>
      <c r="E12" s="185" t="s">
        <v>277</v>
      </c>
      <c r="F12" s="231" t="s">
        <v>278</v>
      </c>
      <c r="G12" s="307">
        <v>6388</v>
      </c>
      <c r="H12" s="308">
        <v>8649</v>
      </c>
    </row>
    <row r="13" spans="1:8" ht="15.75">
      <c r="A13" s="185" t="s">
        <v>279</v>
      </c>
      <c r="B13" s="181" t="s">
        <v>280</v>
      </c>
      <c r="C13" s="307">
        <v>1170</v>
      </c>
      <c r="D13" s="308">
        <v>1544</v>
      </c>
      <c r="E13" s="185" t="s">
        <v>281</v>
      </c>
      <c r="F13" s="231" t="s">
        <v>282</v>
      </c>
      <c r="G13" s="307">
        <v>14949</v>
      </c>
      <c r="H13" s="308">
        <v>22224</v>
      </c>
    </row>
    <row r="14" spans="1:8" ht="15.75">
      <c r="A14" s="185" t="s">
        <v>283</v>
      </c>
      <c r="B14" s="181" t="s">
        <v>284</v>
      </c>
      <c r="C14" s="307">
        <v>1561</v>
      </c>
      <c r="D14" s="308">
        <v>1197</v>
      </c>
      <c r="E14" s="236" t="s">
        <v>285</v>
      </c>
      <c r="F14" s="231" t="s">
        <v>286</v>
      </c>
      <c r="G14" s="307">
        <v>822</v>
      </c>
      <c r="H14" s="308">
        <v>787</v>
      </c>
    </row>
    <row r="15" spans="1:8" ht="15.75">
      <c r="A15" s="185" t="s">
        <v>287</v>
      </c>
      <c r="B15" s="181" t="s">
        <v>288</v>
      </c>
      <c r="C15" s="307">
        <v>4635</v>
      </c>
      <c r="D15" s="308">
        <v>4976</v>
      </c>
      <c r="E15" s="236" t="s">
        <v>79</v>
      </c>
      <c r="F15" s="231" t="s">
        <v>289</v>
      </c>
      <c r="G15" s="307">
        <v>1182</v>
      </c>
      <c r="H15" s="308">
        <v>1516</v>
      </c>
    </row>
    <row r="16" spans="1:8" ht="15.75">
      <c r="A16" s="185" t="s">
        <v>290</v>
      </c>
      <c r="B16" s="181" t="s">
        <v>291</v>
      </c>
      <c r="C16" s="307">
        <v>942</v>
      </c>
      <c r="D16" s="308">
        <v>973</v>
      </c>
      <c r="E16" s="227" t="s">
        <v>52</v>
      </c>
      <c r="F16" s="255" t="s">
        <v>292</v>
      </c>
      <c r="G16" s="597">
        <f>SUM(G12:G15)</f>
        <v>23341</v>
      </c>
      <c r="H16" s="598">
        <f>SUM(H12:H15)</f>
        <v>33176</v>
      </c>
    </row>
    <row r="17" spans="1:8" ht="31.5">
      <c r="A17" s="185" t="s">
        <v>293</v>
      </c>
      <c r="B17" s="181" t="s">
        <v>294</v>
      </c>
      <c r="C17" s="307">
        <v>14130</v>
      </c>
      <c r="D17" s="308">
        <v>21364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12</v>
      </c>
      <c r="D18" s="308">
        <v>-1211</v>
      </c>
      <c r="E18" s="225" t="s">
        <v>297</v>
      </c>
      <c r="F18" s="229" t="s">
        <v>298</v>
      </c>
      <c r="G18" s="608">
        <v>187</v>
      </c>
      <c r="H18" s="609">
        <v>66</v>
      </c>
    </row>
    <row r="19" spans="1:8" ht="15.75">
      <c r="A19" s="185" t="s">
        <v>299</v>
      </c>
      <c r="B19" s="181" t="s">
        <v>300</v>
      </c>
      <c r="C19" s="307">
        <v>218</v>
      </c>
      <c r="D19" s="308">
        <v>222</v>
      </c>
      <c r="E19" s="185" t="s">
        <v>301</v>
      </c>
      <c r="F19" s="228" t="s">
        <v>302</v>
      </c>
      <c r="G19" s="307">
        <v>160</v>
      </c>
      <c r="H19" s="308">
        <v>66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26052</v>
      </c>
      <c r="D22" s="598">
        <f>SUM(D12:D18)+D19</f>
        <v>35317</v>
      </c>
      <c r="E22" s="185" t="s">
        <v>309</v>
      </c>
      <c r="F22" s="228" t="s">
        <v>310</v>
      </c>
      <c r="G22" s="307">
        <v>18</v>
      </c>
      <c r="H22" s="308">
        <v>18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0</v>
      </c>
      <c r="H23" s="308">
        <v>278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0</v>
      </c>
      <c r="H24" s="308">
        <v>0</v>
      </c>
    </row>
    <row r="25" spans="1:8" ht="31.5">
      <c r="A25" s="185" t="s">
        <v>316</v>
      </c>
      <c r="B25" s="228" t="s">
        <v>317</v>
      </c>
      <c r="C25" s="307">
        <v>223</v>
      </c>
      <c r="D25" s="308">
        <v>302</v>
      </c>
      <c r="E25" s="185" t="s">
        <v>318</v>
      </c>
      <c r="F25" s="228" t="s">
        <v>319</v>
      </c>
      <c r="G25" s="307">
        <v>0</v>
      </c>
      <c r="H25" s="308">
        <v>0</v>
      </c>
    </row>
    <row r="26" spans="1:8" ht="31.5">
      <c r="A26" s="185" t="s">
        <v>320</v>
      </c>
      <c r="B26" s="228" t="s">
        <v>321</v>
      </c>
      <c r="C26" s="307">
        <v>0</v>
      </c>
      <c r="D26" s="308">
        <v>7</v>
      </c>
      <c r="E26" s="185" t="s">
        <v>322</v>
      </c>
      <c r="F26" s="228" t="s">
        <v>323</v>
      </c>
      <c r="G26" s="307">
        <v>544</v>
      </c>
      <c r="H26" s="308">
        <v>874</v>
      </c>
    </row>
    <row r="27" spans="1:8" ht="31.5">
      <c r="A27" s="185" t="s">
        <v>324</v>
      </c>
      <c r="B27" s="228" t="s">
        <v>325</v>
      </c>
      <c r="C27" s="307">
        <v>6</v>
      </c>
      <c r="D27" s="308">
        <v>11</v>
      </c>
      <c r="E27" s="227" t="s">
        <v>104</v>
      </c>
      <c r="F27" s="229" t="s">
        <v>326</v>
      </c>
      <c r="G27" s="597">
        <f>SUM(G22:G26)</f>
        <v>562</v>
      </c>
      <c r="H27" s="598">
        <f>SUM(H22:H26)</f>
        <v>1170</v>
      </c>
    </row>
    <row r="28" spans="1:8" ht="15.75">
      <c r="A28" s="185" t="s">
        <v>79</v>
      </c>
      <c r="B28" s="228" t="s">
        <v>327</v>
      </c>
      <c r="C28" s="307">
        <v>188</v>
      </c>
      <c r="D28" s="308">
        <v>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417</v>
      </c>
      <c r="D29" s="598">
        <f>SUM(D25:D28)</f>
        <v>387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26469</v>
      </c>
      <c r="D31" s="604">
        <f>D29+D22</f>
        <v>35704</v>
      </c>
      <c r="E31" s="242" t="s">
        <v>800</v>
      </c>
      <c r="F31" s="257" t="s">
        <v>331</v>
      </c>
      <c r="G31" s="244">
        <f>G16+G18+G27</f>
        <v>24090</v>
      </c>
      <c r="H31" s="245">
        <f>H16+H18+H27</f>
        <v>34412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2379</v>
      </c>
      <c r="H33" s="598">
        <f>IF((D31-H31)&gt;0,D31-H31,0)</f>
        <v>1292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20</v>
      </c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26469</v>
      </c>
      <c r="D36" s="606">
        <f>D31-D34+D35</f>
        <v>35704</v>
      </c>
      <c r="E36" s="253" t="s">
        <v>346</v>
      </c>
      <c r="F36" s="247" t="s">
        <v>347</v>
      </c>
      <c r="G36" s="258">
        <f>G35-G34+G31</f>
        <v>24110</v>
      </c>
      <c r="H36" s="259">
        <f>H35-H34+H31</f>
        <v>34412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2359</v>
      </c>
      <c r="H37" s="245">
        <f>IF((D36-H36)&gt;0,D36-H36,0)</f>
        <v>1292</v>
      </c>
    </row>
    <row r="38" spans="1:8" ht="15.75">
      <c r="A38" s="225" t="s">
        <v>352</v>
      </c>
      <c r="B38" s="229" t="s">
        <v>353</v>
      </c>
      <c r="C38" s="597">
        <f>C39+C40+C41</f>
        <v>76</v>
      </c>
      <c r="D38" s="598">
        <f>D39+D40+D41</f>
        <v>140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76</v>
      </c>
      <c r="D39" s="308">
        <v>140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2435</v>
      </c>
      <c r="H42" s="235">
        <f>IF(H37&gt;0,IF(D38+H37&lt;0,0,D38+H37),IF(D37-D38&lt;0,D38-D37,0))</f>
        <v>1432</v>
      </c>
    </row>
    <row r="43" spans="1:8" ht="15.75">
      <c r="A43" s="224" t="s">
        <v>364</v>
      </c>
      <c r="B43" s="177" t="s">
        <v>365</v>
      </c>
      <c r="C43" s="307">
        <v>13</v>
      </c>
      <c r="D43" s="308">
        <v>449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2448</v>
      </c>
      <c r="H44" s="259">
        <f>IF(D42=0,IF(H42-H43&gt;0,H42-H43+D43,0),IF(D42-D43&lt;0,D43-D42+H43,0))</f>
        <v>1881</v>
      </c>
    </row>
    <row r="45" spans="1:8" ht="16.5" thickBot="1">
      <c r="A45" s="261" t="s">
        <v>371</v>
      </c>
      <c r="B45" s="262" t="s">
        <v>372</v>
      </c>
      <c r="C45" s="599">
        <f>C36+C38+C42</f>
        <v>26545</v>
      </c>
      <c r="D45" s="600">
        <f>D36+D38+D42</f>
        <v>35844</v>
      </c>
      <c r="E45" s="261" t="s">
        <v>373</v>
      </c>
      <c r="F45" s="263" t="s">
        <v>374</v>
      </c>
      <c r="G45" s="599">
        <f>G42+G36</f>
        <v>26545</v>
      </c>
      <c r="H45" s="600">
        <f>H42+H36</f>
        <v>35844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0">
        <f>pdeReportingDate</f>
        <v>44102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Валентина Тодорова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tr">
        <f>'1-Баланс'!B103:E103</f>
        <v>Даниел Ризов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/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/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/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2" sqref="C3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32528</v>
      </c>
      <c r="D11" s="187">
        <v>40538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-22813</v>
      </c>
      <c r="D12" s="187">
        <v>-35179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0</v>
      </c>
      <c r="D13" s="187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-4914</v>
      </c>
      <c r="D14" s="187">
        <v>-5592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-225</v>
      </c>
      <c r="D15" s="187">
        <v>-132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-25</v>
      </c>
      <c r="D16" s="187">
        <v>-75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-80</v>
      </c>
      <c r="D18" s="187">
        <v>-90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-6</v>
      </c>
      <c r="D19" s="187">
        <v>-6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-60</v>
      </c>
      <c r="D20" s="187">
        <v>-240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4405</v>
      </c>
      <c r="D21" s="628">
        <f>SUM(D11:D20)</f>
        <v>-775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-3643</v>
      </c>
      <c r="D23" s="187">
        <v>-11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</v>
      </c>
      <c r="D24" s="187">
        <v>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-44</v>
      </c>
      <c r="D25" s="187">
        <v>-85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7"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0</v>
      </c>
      <c r="D27" s="187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-8</v>
      </c>
      <c r="D28" s="187">
        <v>-24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0</v>
      </c>
      <c r="D29" s="187">
        <v>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0</v>
      </c>
      <c r="D30" s="187">
        <v>9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0</v>
      </c>
      <c r="D31" s="187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-29-132</f>
        <v>-161</v>
      </c>
      <c r="D32" s="187">
        <v>-175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-3851</v>
      </c>
      <c r="D33" s="628">
        <f>SUM(D23:D32)</f>
        <v>-270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7">
        <v>1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0</v>
      </c>
      <c r="D36" s="187">
        <v>0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2870</v>
      </c>
      <c r="D37" s="187">
        <v>4376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-3077</v>
      </c>
      <c r="D38" s="187">
        <v>-3224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0</v>
      </c>
      <c r="D39" s="187">
        <v>-31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-137</v>
      </c>
      <c r="D40" s="187">
        <v>-130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0</v>
      </c>
      <c r="D41" s="187">
        <v>-14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f>21</f>
        <v>21</v>
      </c>
      <c r="D42" s="187">
        <v>11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-323</v>
      </c>
      <c r="D43" s="630">
        <f>SUM(D35:D42)</f>
        <v>989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231</v>
      </c>
      <c r="D44" s="298">
        <f>D43+D33+D21</f>
        <v>-56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2156</v>
      </c>
      <c r="D45" s="300">
        <v>2696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2387</v>
      </c>
      <c r="D46" s="302">
        <f>D45+D44</f>
        <v>2640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2271</v>
      </c>
      <c r="D47" s="289">
        <v>2441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116</v>
      </c>
      <c r="D48" s="272">
        <v>199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0">
        <f>pdeReportingDate</f>
        <v>44102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Валентина Тодорова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tr">
        <f>'1-Баланс'!B103:E103</f>
        <v>Даниел Ризов</v>
      </c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663"/>
      <c r="B62" s="669"/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4" sqref="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2323</v>
      </c>
      <c r="D13" s="553">
        <f>'1-Баланс'!H20</f>
        <v>2577</v>
      </c>
      <c r="E13" s="553">
        <f>'1-Баланс'!H21</f>
        <v>9316</v>
      </c>
      <c r="F13" s="553">
        <f>'1-Баланс'!H23</f>
        <v>1844</v>
      </c>
      <c r="G13" s="553">
        <f>'1-Баланс'!H24</f>
        <v>4</v>
      </c>
      <c r="H13" s="554">
        <v>30594</v>
      </c>
      <c r="I13" s="553">
        <f>'1-Баланс'!H29+'1-Баланс'!H32</f>
        <v>7469</v>
      </c>
      <c r="J13" s="553">
        <f>'1-Баланс'!H30+'1-Баланс'!H33</f>
        <v>-15289</v>
      </c>
      <c r="K13" s="554"/>
      <c r="L13" s="553">
        <f>SUM(C13:K13)</f>
        <v>38838</v>
      </c>
      <c r="M13" s="555">
        <f>'1-Баланс'!H40</f>
        <v>27115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2323</v>
      </c>
      <c r="D17" s="622">
        <f aca="true" t="shared" si="2" ref="D17:M17">D13+D14</f>
        <v>2577</v>
      </c>
      <c r="E17" s="622">
        <f t="shared" si="2"/>
        <v>9316</v>
      </c>
      <c r="F17" s="622">
        <f t="shared" si="2"/>
        <v>1844</v>
      </c>
      <c r="G17" s="622">
        <f t="shared" si="2"/>
        <v>4</v>
      </c>
      <c r="H17" s="622">
        <f t="shared" si="2"/>
        <v>30594</v>
      </c>
      <c r="I17" s="622">
        <f t="shared" si="2"/>
        <v>7469</v>
      </c>
      <c r="J17" s="622">
        <f t="shared" si="2"/>
        <v>-15289</v>
      </c>
      <c r="K17" s="622">
        <f t="shared" si="2"/>
        <v>0</v>
      </c>
      <c r="L17" s="553">
        <f t="shared" si="1"/>
        <v>38838</v>
      </c>
      <c r="M17" s="623">
        <f t="shared" si="2"/>
        <v>27115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-2448</v>
      </c>
      <c r="K18" s="554"/>
      <c r="L18" s="553">
        <f t="shared" si="1"/>
        <v>-2448</v>
      </c>
      <c r="M18" s="607">
        <v>13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</v>
      </c>
      <c r="G19" s="159">
        <f t="shared" si="3"/>
        <v>0</v>
      </c>
      <c r="H19" s="159">
        <f t="shared" si="3"/>
        <v>168</v>
      </c>
      <c r="I19" s="159">
        <f t="shared" si="3"/>
        <v>-171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</v>
      </c>
      <c r="G21" s="307"/>
      <c r="H21" s="307">
        <f>169-1</f>
        <v>168</v>
      </c>
      <c r="I21" s="307">
        <f>-169-2</f>
        <v>-171</v>
      </c>
      <c r="J21" s="307"/>
      <c r="K21" s="307"/>
      <c r="L21" s="553">
        <f t="shared" si="1"/>
        <v>0</v>
      </c>
      <c r="M21" s="308">
        <f>4-4+251-251</f>
        <v>0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f>107+14-121</f>
        <v>0</v>
      </c>
      <c r="D30" s="307">
        <v>0</v>
      </c>
      <c r="E30" s="307">
        <v>0</v>
      </c>
      <c r="F30" s="307">
        <v>-20</v>
      </c>
      <c r="G30" s="307">
        <v>0</v>
      </c>
      <c r="H30" s="307">
        <f>-6-1916</f>
        <v>-1922</v>
      </c>
      <c r="I30" s="307">
        <v>498</v>
      </c>
      <c r="J30" s="307">
        <v>-1173</v>
      </c>
      <c r="K30" s="307"/>
      <c r="L30" s="553">
        <f t="shared" si="1"/>
        <v>-2617</v>
      </c>
      <c r="M30" s="308">
        <v>-11270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2323</v>
      </c>
      <c r="D31" s="622">
        <f aca="true" t="shared" si="6" ref="D31:M31">D19+D22+D23+D26+D30+D29+D17+D18</f>
        <v>2577</v>
      </c>
      <c r="E31" s="622">
        <f t="shared" si="6"/>
        <v>9316</v>
      </c>
      <c r="F31" s="622">
        <f t="shared" si="6"/>
        <v>1827</v>
      </c>
      <c r="G31" s="622">
        <f t="shared" si="6"/>
        <v>4</v>
      </c>
      <c r="H31" s="622">
        <f t="shared" si="6"/>
        <v>28840</v>
      </c>
      <c r="I31" s="622">
        <f t="shared" si="6"/>
        <v>7796</v>
      </c>
      <c r="J31" s="622">
        <f t="shared" si="6"/>
        <v>-18910</v>
      </c>
      <c r="K31" s="622">
        <f t="shared" si="6"/>
        <v>0</v>
      </c>
      <c r="L31" s="553">
        <f t="shared" si="1"/>
        <v>33773</v>
      </c>
      <c r="M31" s="623">
        <f t="shared" si="6"/>
        <v>15858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2323</v>
      </c>
      <c r="D34" s="556">
        <f t="shared" si="7"/>
        <v>2577</v>
      </c>
      <c r="E34" s="556">
        <f t="shared" si="7"/>
        <v>9316</v>
      </c>
      <c r="F34" s="556">
        <f t="shared" si="7"/>
        <v>1827</v>
      </c>
      <c r="G34" s="556">
        <f t="shared" si="7"/>
        <v>4</v>
      </c>
      <c r="H34" s="556">
        <f t="shared" si="7"/>
        <v>28840</v>
      </c>
      <c r="I34" s="556">
        <f t="shared" si="7"/>
        <v>7796</v>
      </c>
      <c r="J34" s="556">
        <f t="shared" si="7"/>
        <v>-18910</v>
      </c>
      <c r="K34" s="556">
        <f t="shared" si="7"/>
        <v>0</v>
      </c>
      <c r="L34" s="620">
        <f t="shared" si="1"/>
        <v>33773</v>
      </c>
      <c r="M34" s="557">
        <f>M31+M32+M33</f>
        <v>15858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0">
        <f>pdeReportingDate</f>
        <v>44102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Валентина Тодорова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tr">
        <f>'1-Баланс'!B103:E103</f>
        <v>Даниел Ризов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/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/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/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E34" sqref="E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11230</v>
      </c>
      <c r="E11" s="319">
        <v>910</v>
      </c>
      <c r="F11" s="319"/>
      <c r="G11" s="320">
        <f>D11+E11-F11</f>
        <v>12140</v>
      </c>
      <c r="H11" s="319"/>
      <c r="I11" s="319"/>
      <c r="J11" s="320">
        <f>G11+H11-I11</f>
        <v>12140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12140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16299</v>
      </c>
      <c r="E12" s="319">
        <v>486</v>
      </c>
      <c r="F12" s="319">
        <v>0</v>
      </c>
      <c r="G12" s="320">
        <f aca="true" t="shared" si="2" ref="G12:G41">D12+E12-F12</f>
        <v>16785</v>
      </c>
      <c r="H12" s="319"/>
      <c r="I12" s="319"/>
      <c r="J12" s="320">
        <f aca="true" t="shared" si="3" ref="J12:J41">G12+H12-I12</f>
        <v>16785</v>
      </c>
      <c r="K12" s="319">
        <v>9570</v>
      </c>
      <c r="L12" s="319">
        <v>201</v>
      </c>
      <c r="M12" s="319">
        <v>0</v>
      </c>
      <c r="N12" s="320">
        <f aca="true" t="shared" si="4" ref="N12:N41">K12+L12-M12</f>
        <v>9771</v>
      </c>
      <c r="O12" s="319"/>
      <c r="P12" s="319"/>
      <c r="Q12" s="320">
        <f t="shared" si="0"/>
        <v>9771</v>
      </c>
      <c r="R12" s="331">
        <f t="shared" si="1"/>
        <v>7014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31895</v>
      </c>
      <c r="E13" s="319">
        <v>27</v>
      </c>
      <c r="F13" s="319">
        <v>0</v>
      </c>
      <c r="G13" s="320">
        <f t="shared" si="2"/>
        <v>31922</v>
      </c>
      <c r="H13" s="319"/>
      <c r="I13" s="319"/>
      <c r="J13" s="320">
        <f t="shared" si="3"/>
        <v>31922</v>
      </c>
      <c r="K13" s="319">
        <v>19894</v>
      </c>
      <c r="L13" s="319">
        <v>697</v>
      </c>
      <c r="M13" s="319">
        <v>0</v>
      </c>
      <c r="N13" s="320">
        <f t="shared" si="4"/>
        <v>20591</v>
      </c>
      <c r="O13" s="319"/>
      <c r="P13" s="319"/>
      <c r="Q13" s="320">
        <f t="shared" si="0"/>
        <v>20591</v>
      </c>
      <c r="R13" s="331">
        <f t="shared" si="1"/>
        <v>11331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2874</v>
      </c>
      <c r="E14" s="319">
        <v>0</v>
      </c>
      <c r="F14" s="319">
        <v>0</v>
      </c>
      <c r="G14" s="320">
        <f t="shared" si="2"/>
        <v>2874</v>
      </c>
      <c r="H14" s="319"/>
      <c r="I14" s="319"/>
      <c r="J14" s="320">
        <f t="shared" si="3"/>
        <v>2874</v>
      </c>
      <c r="K14" s="319">
        <v>1560</v>
      </c>
      <c r="L14" s="319">
        <v>47</v>
      </c>
      <c r="M14" s="319">
        <v>0</v>
      </c>
      <c r="N14" s="320">
        <f t="shared" si="4"/>
        <v>1607</v>
      </c>
      <c r="O14" s="319"/>
      <c r="P14" s="319"/>
      <c r="Q14" s="320">
        <f t="shared" si="0"/>
        <v>1607</v>
      </c>
      <c r="R14" s="331">
        <f t="shared" si="1"/>
        <v>1267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6590</v>
      </c>
      <c r="E15" s="319">
        <f>4395-1748</f>
        <v>2647</v>
      </c>
      <c r="F15" s="319">
        <f>288-123+1895</f>
        <v>2060</v>
      </c>
      <c r="G15" s="320">
        <f t="shared" si="2"/>
        <v>7177</v>
      </c>
      <c r="H15" s="319"/>
      <c r="I15" s="319"/>
      <c r="J15" s="320">
        <f t="shared" si="3"/>
        <v>7177</v>
      </c>
      <c r="K15" s="319">
        <f>2670-217</f>
        <v>2453</v>
      </c>
      <c r="L15" s="319">
        <f>870-366</f>
        <v>504</v>
      </c>
      <c r="M15" s="319">
        <f>220-55</f>
        <v>165</v>
      </c>
      <c r="N15" s="320">
        <f t="shared" si="4"/>
        <v>2792</v>
      </c>
      <c r="O15" s="319"/>
      <c r="P15" s="319"/>
      <c r="Q15" s="320">
        <f t="shared" si="0"/>
        <v>2792</v>
      </c>
      <c r="R15" s="331">
        <f t="shared" si="1"/>
        <v>4385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1419</v>
      </c>
      <c r="E16" s="319">
        <v>0</v>
      </c>
      <c r="F16" s="319">
        <f>8+1</f>
        <v>9</v>
      </c>
      <c r="G16" s="320">
        <f t="shared" si="2"/>
        <v>1410</v>
      </c>
      <c r="H16" s="319"/>
      <c r="I16" s="319"/>
      <c r="J16" s="320">
        <f t="shared" si="3"/>
        <v>1410</v>
      </c>
      <c r="K16" s="319">
        <v>1025</v>
      </c>
      <c r="L16" s="319">
        <v>25</v>
      </c>
      <c r="M16" s="319">
        <v>0</v>
      </c>
      <c r="N16" s="320">
        <f t="shared" si="4"/>
        <v>1050</v>
      </c>
      <c r="O16" s="319"/>
      <c r="P16" s="319"/>
      <c r="Q16" s="320">
        <f t="shared" si="0"/>
        <v>1050</v>
      </c>
      <c r="R16" s="331">
        <f t="shared" si="1"/>
        <v>360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6242</v>
      </c>
      <c r="E17" s="319">
        <v>231</v>
      </c>
      <c r="F17" s="319">
        <v>382</v>
      </c>
      <c r="G17" s="320">
        <f t="shared" si="2"/>
        <v>6091</v>
      </c>
      <c r="H17" s="319"/>
      <c r="I17" s="319"/>
      <c r="J17" s="320">
        <f t="shared" si="3"/>
        <v>6091</v>
      </c>
      <c r="K17" s="319"/>
      <c r="L17" s="319"/>
      <c r="M17" s="319"/>
      <c r="N17" s="668">
        <f>K17+L17-M17</f>
        <v>0</v>
      </c>
      <c r="O17" s="319"/>
      <c r="P17" s="319"/>
      <c r="Q17" s="320">
        <f t="shared" si="0"/>
        <v>0</v>
      </c>
      <c r="R17" s="331">
        <f t="shared" si="1"/>
        <v>6091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2517</v>
      </c>
      <c r="E18" s="319">
        <v>32</v>
      </c>
      <c r="F18" s="319">
        <f>16+5</f>
        <v>21</v>
      </c>
      <c r="G18" s="320">
        <f t="shared" si="2"/>
        <v>2528</v>
      </c>
      <c r="H18" s="319"/>
      <c r="I18" s="319"/>
      <c r="J18" s="320">
        <f t="shared" si="3"/>
        <v>2528</v>
      </c>
      <c r="K18" s="319">
        <v>1604</v>
      </c>
      <c r="L18" s="319">
        <f>43-2</f>
        <v>41</v>
      </c>
      <c r="M18" s="319">
        <v>0</v>
      </c>
      <c r="N18" s="320">
        <f t="shared" si="4"/>
        <v>1645</v>
      </c>
      <c r="O18" s="319"/>
      <c r="P18" s="319"/>
      <c r="Q18" s="320">
        <f t="shared" si="0"/>
        <v>1645</v>
      </c>
      <c r="R18" s="331">
        <f t="shared" si="1"/>
        <v>883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79066</v>
      </c>
      <c r="E19" s="321">
        <f>SUM(E11:E18)</f>
        <v>4333</v>
      </c>
      <c r="F19" s="321">
        <f>SUM(F11:F18)</f>
        <v>2472</v>
      </c>
      <c r="G19" s="320">
        <f t="shared" si="2"/>
        <v>80927</v>
      </c>
      <c r="H19" s="321">
        <f>SUM(H11:H18)</f>
        <v>0</v>
      </c>
      <c r="I19" s="321">
        <f>SUM(I11:I18)</f>
        <v>0</v>
      </c>
      <c r="J19" s="320">
        <f t="shared" si="3"/>
        <v>80927</v>
      </c>
      <c r="K19" s="321">
        <f>SUM(K11:K18)</f>
        <v>36106</v>
      </c>
      <c r="L19" s="321">
        <f>SUM(L11:L18)</f>
        <v>1515</v>
      </c>
      <c r="M19" s="321">
        <f>SUM(M11:M18)</f>
        <v>165</v>
      </c>
      <c r="N19" s="320">
        <f t="shared" si="4"/>
        <v>37456</v>
      </c>
      <c r="O19" s="321">
        <f>SUM(O11:O18)</f>
        <v>0</v>
      </c>
      <c r="P19" s="321">
        <f>SUM(P11:P18)</f>
        <v>0</v>
      </c>
      <c r="Q19" s="320">
        <f t="shared" si="0"/>
        <v>37456</v>
      </c>
      <c r="R19" s="331">
        <f t="shared" si="1"/>
        <v>43471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295</v>
      </c>
      <c r="E20" s="319">
        <v>0</v>
      </c>
      <c r="F20" s="319">
        <v>0</v>
      </c>
      <c r="G20" s="320">
        <f t="shared" si="2"/>
        <v>295</v>
      </c>
      <c r="H20" s="319"/>
      <c r="I20" s="319"/>
      <c r="J20" s="320">
        <f t="shared" si="3"/>
        <v>295</v>
      </c>
      <c r="K20" s="319">
        <v>167</v>
      </c>
      <c r="L20" s="319">
        <v>5</v>
      </c>
      <c r="M20" s="319">
        <v>0</v>
      </c>
      <c r="N20" s="320">
        <f t="shared" si="4"/>
        <v>172</v>
      </c>
      <c r="O20" s="319"/>
      <c r="P20" s="319"/>
      <c r="Q20" s="320">
        <f t="shared" si="0"/>
        <v>172</v>
      </c>
      <c r="R20" s="331">
        <f t="shared" si="1"/>
        <v>123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109</v>
      </c>
      <c r="E23" s="319">
        <v>14</v>
      </c>
      <c r="F23" s="319"/>
      <c r="G23" s="320">
        <f t="shared" si="2"/>
        <v>123</v>
      </c>
      <c r="H23" s="319"/>
      <c r="I23" s="319"/>
      <c r="J23" s="320">
        <f t="shared" si="3"/>
        <v>123</v>
      </c>
      <c r="K23" s="319">
        <v>103</v>
      </c>
      <c r="L23" s="319">
        <v>8</v>
      </c>
      <c r="M23" s="319"/>
      <c r="N23" s="320">
        <f t="shared" si="4"/>
        <v>111</v>
      </c>
      <c r="O23" s="319"/>
      <c r="P23" s="319"/>
      <c r="Q23" s="320">
        <f t="shared" si="0"/>
        <v>111</v>
      </c>
      <c r="R23" s="331">
        <f t="shared" si="1"/>
        <v>12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167</v>
      </c>
      <c r="E24" s="319">
        <v>6</v>
      </c>
      <c r="F24" s="319">
        <v>0</v>
      </c>
      <c r="G24" s="320">
        <f t="shared" si="2"/>
        <v>173</v>
      </c>
      <c r="H24" s="319"/>
      <c r="I24" s="319"/>
      <c r="J24" s="320">
        <f t="shared" si="3"/>
        <v>173</v>
      </c>
      <c r="K24" s="319">
        <v>118</v>
      </c>
      <c r="L24" s="319">
        <v>14</v>
      </c>
      <c r="M24" s="319">
        <v>0</v>
      </c>
      <c r="N24" s="320">
        <f t="shared" si="4"/>
        <v>132</v>
      </c>
      <c r="O24" s="319"/>
      <c r="P24" s="319"/>
      <c r="Q24" s="320">
        <f t="shared" si="0"/>
        <v>132</v>
      </c>
      <c r="R24" s="331">
        <f t="shared" si="1"/>
        <v>41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532</v>
      </c>
      <c r="E26" s="319">
        <v>0</v>
      </c>
      <c r="F26" s="319">
        <v>1</v>
      </c>
      <c r="G26" s="320">
        <f t="shared" si="2"/>
        <v>531</v>
      </c>
      <c r="H26" s="319"/>
      <c r="I26" s="319"/>
      <c r="J26" s="320">
        <f t="shared" si="3"/>
        <v>531</v>
      </c>
      <c r="K26" s="319">
        <v>420</v>
      </c>
      <c r="L26" s="319">
        <v>19</v>
      </c>
      <c r="M26" s="319">
        <v>0</v>
      </c>
      <c r="N26" s="320">
        <f t="shared" si="4"/>
        <v>439</v>
      </c>
      <c r="O26" s="319"/>
      <c r="P26" s="319"/>
      <c r="Q26" s="320">
        <f t="shared" si="0"/>
        <v>439</v>
      </c>
      <c r="R26" s="331">
        <f t="shared" si="1"/>
        <v>92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808</v>
      </c>
      <c r="E27" s="323">
        <f aca="true" t="shared" si="5" ref="E27:P27">SUM(E23:E26)</f>
        <v>20</v>
      </c>
      <c r="F27" s="323">
        <f t="shared" si="5"/>
        <v>1</v>
      </c>
      <c r="G27" s="324">
        <f t="shared" si="2"/>
        <v>827</v>
      </c>
      <c r="H27" s="323">
        <f t="shared" si="5"/>
        <v>0</v>
      </c>
      <c r="I27" s="323">
        <f t="shared" si="5"/>
        <v>0</v>
      </c>
      <c r="J27" s="324">
        <f t="shared" si="3"/>
        <v>827</v>
      </c>
      <c r="K27" s="323">
        <f t="shared" si="5"/>
        <v>641</v>
      </c>
      <c r="L27" s="323">
        <f t="shared" si="5"/>
        <v>41</v>
      </c>
      <c r="M27" s="323">
        <f t="shared" si="5"/>
        <v>0</v>
      </c>
      <c r="N27" s="324">
        <f t="shared" si="4"/>
        <v>682</v>
      </c>
      <c r="O27" s="323">
        <f t="shared" si="5"/>
        <v>0</v>
      </c>
      <c r="P27" s="323">
        <f t="shared" si="5"/>
        <v>0</v>
      </c>
      <c r="Q27" s="324">
        <f t="shared" si="0"/>
        <v>682</v>
      </c>
      <c r="R27" s="334">
        <f t="shared" si="1"/>
        <v>145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349</v>
      </c>
      <c r="E29" s="326">
        <f aca="true" t="shared" si="6" ref="E29:P29">SUM(E30:E33)</f>
        <v>208</v>
      </c>
      <c r="F29" s="326">
        <f t="shared" si="6"/>
        <v>160</v>
      </c>
      <c r="G29" s="327">
        <f t="shared" si="2"/>
        <v>397</v>
      </c>
      <c r="H29" s="326">
        <f t="shared" si="6"/>
        <v>0</v>
      </c>
      <c r="I29" s="326">
        <f t="shared" si="6"/>
        <v>0</v>
      </c>
      <c r="J29" s="327">
        <f t="shared" si="3"/>
        <v>397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397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349</v>
      </c>
      <c r="E32" s="319">
        <v>8</v>
      </c>
      <c r="F32" s="319">
        <v>160</v>
      </c>
      <c r="G32" s="320">
        <f t="shared" si="2"/>
        <v>197</v>
      </c>
      <c r="H32" s="319"/>
      <c r="I32" s="319"/>
      <c r="J32" s="320">
        <f t="shared" si="3"/>
        <v>197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197</v>
      </c>
    </row>
    <row r="33" spans="1:18" ht="15.75">
      <c r="A33" s="330"/>
      <c r="B33" s="312" t="s">
        <v>115</v>
      </c>
      <c r="C33" s="143" t="s">
        <v>566</v>
      </c>
      <c r="D33" s="319"/>
      <c r="E33" s="319">
        <v>200</v>
      </c>
      <c r="F33" s="319"/>
      <c r="G33" s="320">
        <f t="shared" si="2"/>
        <v>200</v>
      </c>
      <c r="H33" s="319"/>
      <c r="I33" s="319"/>
      <c r="J33" s="320">
        <f t="shared" si="3"/>
        <v>200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200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349</v>
      </c>
      <c r="E40" s="321">
        <f aca="true" t="shared" si="10" ref="E40:P40">E29+E34+E39</f>
        <v>208</v>
      </c>
      <c r="F40" s="321">
        <f t="shared" si="10"/>
        <v>160</v>
      </c>
      <c r="G40" s="320">
        <f t="shared" si="2"/>
        <v>397</v>
      </c>
      <c r="H40" s="321">
        <f t="shared" si="10"/>
        <v>0</v>
      </c>
      <c r="I40" s="321">
        <f t="shared" si="10"/>
        <v>0</v>
      </c>
      <c r="J40" s="320">
        <f t="shared" si="3"/>
        <v>397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397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7844</v>
      </c>
      <c r="E41" s="319">
        <v>0</v>
      </c>
      <c r="F41" s="319">
        <v>22</v>
      </c>
      <c r="G41" s="320">
        <f t="shared" si="2"/>
        <v>7822</v>
      </c>
      <c r="H41" s="319"/>
      <c r="I41" s="319"/>
      <c r="J41" s="320">
        <f t="shared" si="3"/>
        <v>7822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7822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88362</v>
      </c>
      <c r="E42" s="340">
        <f>E19+E20+E21+E27+E40+E41</f>
        <v>4561</v>
      </c>
      <c r="F42" s="340">
        <f aca="true" t="shared" si="11" ref="F42:Q42">F19+F20+F21+F27+F40+F41</f>
        <v>2655</v>
      </c>
      <c r="G42" s="340">
        <f t="shared" si="11"/>
        <v>90268</v>
      </c>
      <c r="H42" s="340">
        <f t="shared" si="11"/>
        <v>0</v>
      </c>
      <c r="I42" s="340">
        <f t="shared" si="11"/>
        <v>0</v>
      </c>
      <c r="J42" s="340">
        <f t="shared" si="11"/>
        <v>90268</v>
      </c>
      <c r="K42" s="340">
        <f t="shared" si="11"/>
        <v>36914</v>
      </c>
      <c r="L42" s="340">
        <f t="shared" si="11"/>
        <v>1561</v>
      </c>
      <c r="M42" s="340">
        <f t="shared" si="11"/>
        <v>165</v>
      </c>
      <c r="N42" s="340">
        <f t="shared" si="11"/>
        <v>38310</v>
      </c>
      <c r="O42" s="340">
        <f t="shared" si="11"/>
        <v>0</v>
      </c>
      <c r="P42" s="340">
        <f t="shared" si="11"/>
        <v>0</v>
      </c>
      <c r="Q42" s="340">
        <f t="shared" si="11"/>
        <v>38310</v>
      </c>
      <c r="R42" s="341">
        <f>R19+R20+R21+R27+R40+R41</f>
        <v>51958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0">
        <f>pdeReportingDate</f>
        <v>44102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Валентина Тодорова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973</v>
      </c>
      <c r="D50" s="669"/>
      <c r="E50" s="669"/>
      <c r="F50" s="669"/>
      <c r="G50" s="543"/>
      <c r="H50" s="44"/>
      <c r="I50" s="41"/>
    </row>
    <row r="51" spans="2:9" ht="15.75">
      <c r="B51" s="663"/>
      <c r="C51" s="669"/>
      <c r="D51" s="669"/>
      <c r="E51" s="669"/>
      <c r="F51" s="669"/>
      <c r="G51" s="543"/>
      <c r="H51" s="44"/>
      <c r="I51" s="41"/>
    </row>
    <row r="52" spans="2:9" ht="15.75">
      <c r="B52" s="663"/>
      <c r="C52" s="669"/>
      <c r="D52" s="669"/>
      <c r="E52" s="669"/>
      <c r="F52" s="669"/>
      <c r="G52" s="543"/>
      <c r="H52" s="44"/>
      <c r="I52" s="41"/>
    </row>
    <row r="53" spans="2:9" ht="15.75">
      <c r="B53" s="663"/>
      <c r="C53" s="669"/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46" sqref="D46:E4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>
        <v>1758</v>
      </c>
      <c r="D11" s="368">
        <v>1758</v>
      </c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>
        <v>0</v>
      </c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>
        <v>0</v>
      </c>
      <c r="D15" s="359">
        <v>0</v>
      </c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0</v>
      </c>
      <c r="D16" s="359">
        <v>0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24</v>
      </c>
      <c r="D17" s="359">
        <v>0</v>
      </c>
      <c r="E17" s="360">
        <f t="shared" si="0"/>
        <v>24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18945</v>
      </c>
      <c r="D18" s="353">
        <f>+D19+D20</f>
        <v>0</v>
      </c>
      <c r="E18" s="360">
        <f t="shared" si="0"/>
        <v>18945</v>
      </c>
      <c r="F18" s="124"/>
    </row>
    <row r="19" spans="1:6" ht="15.75">
      <c r="A19" s="361" t="s">
        <v>606</v>
      </c>
      <c r="B19" s="126" t="s">
        <v>607</v>
      </c>
      <c r="C19" s="359">
        <v>18498</v>
      </c>
      <c r="D19" s="359">
        <v>0</v>
      </c>
      <c r="E19" s="360">
        <f t="shared" si="0"/>
        <v>18498</v>
      </c>
      <c r="F19" s="124"/>
    </row>
    <row r="20" spans="1:6" ht="15.75">
      <c r="A20" s="361" t="s">
        <v>600</v>
      </c>
      <c r="B20" s="126" t="s">
        <v>608</v>
      </c>
      <c r="C20" s="359">
        <v>447</v>
      </c>
      <c r="D20" s="359">
        <v>0</v>
      </c>
      <c r="E20" s="360">
        <f t="shared" si="0"/>
        <v>447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18969</v>
      </c>
      <c r="D21" s="431">
        <f>D13+D17+D18</f>
        <v>0</v>
      </c>
      <c r="E21" s="432">
        <f>E13+E17+E18</f>
        <v>18969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312</v>
      </c>
      <c r="D23" s="434">
        <v>268</v>
      </c>
      <c r="E23" s="433">
        <f t="shared" si="0"/>
        <v>44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337</v>
      </c>
      <c r="D26" s="353">
        <f>SUM(D27:D29)</f>
        <v>337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0</v>
      </c>
      <c r="D27" s="359"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337</v>
      </c>
      <c r="D28" s="359">
        <v>337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0</v>
      </c>
      <c r="D29" s="359">
        <v>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3462</v>
      </c>
      <c r="D30" s="359">
        <v>2874</v>
      </c>
      <c r="E30" s="360">
        <f t="shared" si="0"/>
        <v>588</v>
      </c>
      <c r="F30" s="124"/>
    </row>
    <row r="31" spans="1:6" ht="15.75">
      <c r="A31" s="361" t="s">
        <v>625</v>
      </c>
      <c r="B31" s="126" t="s">
        <v>626</v>
      </c>
      <c r="C31" s="359">
        <v>198</v>
      </c>
      <c r="D31" s="359">
        <v>122</v>
      </c>
      <c r="E31" s="360">
        <f t="shared" si="0"/>
        <v>76</v>
      </c>
      <c r="F31" s="124"/>
    </row>
    <row r="32" spans="1:6" ht="15.75">
      <c r="A32" s="361" t="s">
        <v>627</v>
      </c>
      <c r="B32" s="126" t="s">
        <v>628</v>
      </c>
      <c r="C32" s="359">
        <v>524</v>
      </c>
      <c r="D32" s="359">
        <v>459</v>
      </c>
      <c r="E32" s="360">
        <f t="shared" si="0"/>
        <v>65</v>
      </c>
      <c r="F32" s="124"/>
    </row>
    <row r="33" spans="1:6" ht="15.75">
      <c r="A33" s="361" t="s">
        <v>629</v>
      </c>
      <c r="B33" s="126" t="s">
        <v>630</v>
      </c>
      <c r="C33" s="359">
        <v>147</v>
      </c>
      <c r="D33" s="359">
        <v>31</v>
      </c>
      <c r="E33" s="360">
        <f t="shared" si="0"/>
        <v>116</v>
      </c>
      <c r="F33" s="124"/>
    </row>
    <row r="34" spans="1:6" ht="15.75">
      <c r="A34" s="361" t="s">
        <v>631</v>
      </c>
      <c r="B34" s="126" t="s">
        <v>632</v>
      </c>
      <c r="C34" s="359">
        <v>6</v>
      </c>
      <c r="D34" s="359">
        <v>0</v>
      </c>
      <c r="E34" s="360">
        <f t="shared" si="0"/>
        <v>6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361</v>
      </c>
      <c r="D35" s="353">
        <f>SUM(D36:D39)</f>
        <v>360</v>
      </c>
      <c r="E35" s="360">
        <f>SUM(E36:E39)</f>
        <v>1</v>
      </c>
      <c r="F35" s="124"/>
    </row>
    <row r="36" spans="1:6" ht="15.75">
      <c r="A36" s="361" t="s">
        <v>635</v>
      </c>
      <c r="B36" s="126" t="s">
        <v>636</v>
      </c>
      <c r="C36" s="359">
        <v>4</v>
      </c>
      <c r="D36" s="359">
        <v>4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356</v>
      </c>
      <c r="D37" s="359">
        <v>356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</v>
      </c>
      <c r="D39" s="359">
        <v>0</v>
      </c>
      <c r="E39" s="360">
        <f t="shared" si="0"/>
        <v>1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10589</v>
      </c>
      <c r="D40" s="353">
        <f>SUM(D41:D44)</f>
        <v>10458</v>
      </c>
      <c r="E40" s="360">
        <f>SUM(E41:E44)</f>
        <v>131</v>
      </c>
      <c r="F40" s="124"/>
    </row>
    <row r="41" spans="1:6" ht="15.75">
      <c r="A41" s="361" t="s">
        <v>645</v>
      </c>
      <c r="B41" s="126" t="s">
        <v>646</v>
      </c>
      <c r="C41" s="359">
        <v>71</v>
      </c>
      <c r="D41" s="359">
        <v>35</v>
      </c>
      <c r="E41" s="360">
        <f t="shared" si="0"/>
        <v>36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10518</v>
      </c>
      <c r="D44" s="359">
        <v>10423</v>
      </c>
      <c r="E44" s="360">
        <f t="shared" si="0"/>
        <v>95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15624</v>
      </c>
      <c r="D45" s="429">
        <f>D26+D30+D31+D33+D32+D34+D35+D40</f>
        <v>14641</v>
      </c>
      <c r="E45" s="430">
        <f>E26+E30+E31+E33+E32+E34+E35+E40</f>
        <v>983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36663</v>
      </c>
      <c r="D46" s="435">
        <f>D45+D23+D21+D11</f>
        <v>16667</v>
      </c>
      <c r="E46" s="436">
        <f>E45+E23+E21+E11</f>
        <v>19996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0</v>
      </c>
      <c r="D55" s="188">
        <v>0</v>
      </c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>
        <v>0</v>
      </c>
      <c r="D56" s="188">
        <v>0</v>
      </c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5620</v>
      </c>
      <c r="D58" s="129">
        <f>D59+D61</f>
        <v>0</v>
      </c>
      <c r="E58" s="127">
        <f t="shared" si="1"/>
        <v>5620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5620</v>
      </c>
      <c r="D59" s="188">
        <v>0</v>
      </c>
      <c r="E59" s="127">
        <f t="shared" si="1"/>
        <v>5620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4862</v>
      </c>
      <c r="D64" s="188">
        <v>0</v>
      </c>
      <c r="E64" s="127">
        <f t="shared" si="1"/>
        <v>4862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711</v>
      </c>
      <c r="D66" s="188">
        <v>0</v>
      </c>
      <c r="E66" s="127">
        <f t="shared" si="1"/>
        <v>711</v>
      </c>
      <c r="F66" s="187"/>
    </row>
    <row r="67" spans="1:6" ht="15.75">
      <c r="A67" s="361" t="s">
        <v>684</v>
      </c>
      <c r="B67" s="126" t="s">
        <v>685</v>
      </c>
      <c r="C67" s="188">
        <v>30</v>
      </c>
      <c r="D67" s="188">
        <v>0</v>
      </c>
      <c r="E67" s="127">
        <f t="shared" si="1"/>
        <v>30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11193</v>
      </c>
      <c r="D68" s="426">
        <f>D54+D58+D63+D64+D65+D66</f>
        <v>0</v>
      </c>
      <c r="E68" s="427">
        <f t="shared" si="1"/>
        <v>11193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335</v>
      </c>
      <c r="D70" s="188">
        <v>0</v>
      </c>
      <c r="E70" s="127">
        <f t="shared" si="1"/>
        <v>335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271</v>
      </c>
      <c r="D73" s="128">
        <f>SUM(D74:D76)</f>
        <v>271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271</v>
      </c>
      <c r="D74" s="188">
        <v>271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0</v>
      </c>
      <c r="D75" s="188">
        <v>0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0</v>
      </c>
      <c r="D76" s="188">
        <v>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5903</v>
      </c>
      <c r="D77" s="129">
        <f>D78+D80</f>
        <v>5697</v>
      </c>
      <c r="E77" s="129">
        <f>E78+E80</f>
        <v>206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5903</v>
      </c>
      <c r="D78" s="188">
        <v>5697</v>
      </c>
      <c r="E78" s="127">
        <f t="shared" si="1"/>
        <v>206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4078</v>
      </c>
      <c r="D82" s="129">
        <f>SUM(D83:D86)</f>
        <v>4078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4077</v>
      </c>
      <c r="D85" s="188">
        <v>4077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</v>
      </c>
      <c r="D86" s="188">
        <v>1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27111</v>
      </c>
      <c r="D87" s="125">
        <f>SUM(D88:D92)+D96</f>
        <v>26429</v>
      </c>
      <c r="E87" s="125">
        <f>SUM(E88:E92)+E96</f>
        <v>682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0</v>
      </c>
      <c r="D88" s="188">
        <v>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19960</v>
      </c>
      <c r="D89" s="188">
        <v>19434</v>
      </c>
      <c r="E89" s="127">
        <f t="shared" si="1"/>
        <v>526</v>
      </c>
      <c r="F89" s="187"/>
    </row>
    <row r="90" spans="1:6" ht="15.75">
      <c r="A90" s="361" t="s">
        <v>723</v>
      </c>
      <c r="B90" s="126" t="s">
        <v>724</v>
      </c>
      <c r="C90" s="188">
        <v>4310</v>
      </c>
      <c r="D90" s="188">
        <v>4310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1763</v>
      </c>
      <c r="D91" s="188">
        <v>1607</v>
      </c>
      <c r="E91" s="127">
        <f t="shared" si="1"/>
        <v>156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440</v>
      </c>
      <c r="D92" s="129">
        <f>SUM(D93:D95)</f>
        <v>440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227-116</f>
        <v>111</v>
      </c>
      <c r="D93" s="188">
        <v>111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34</v>
      </c>
      <c r="D94" s="188">
        <v>34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301-6</f>
        <v>295</v>
      </c>
      <c r="D95" s="188">
        <v>295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638</v>
      </c>
      <c r="D96" s="188">
        <v>638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3739-738</f>
        <v>3001</v>
      </c>
      <c r="D97" s="188">
        <f>3512-738</f>
        <v>2774</v>
      </c>
      <c r="E97" s="127">
        <f t="shared" si="1"/>
        <v>227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40364</v>
      </c>
      <c r="D98" s="424">
        <f>D87+D82+D77+D73+D97</f>
        <v>39249</v>
      </c>
      <c r="E98" s="424">
        <f>E87+E82+E77+E73+E97</f>
        <v>1115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51892</v>
      </c>
      <c r="D99" s="418">
        <f>D98+D70+D68</f>
        <v>39249</v>
      </c>
      <c r="E99" s="418">
        <f>E98+E70+E68</f>
        <v>12643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</v>
      </c>
      <c r="D104" s="207"/>
      <c r="E104" s="207"/>
      <c r="F104" s="412">
        <f>C104+D104-E104</f>
        <v>1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80</v>
      </c>
      <c r="D106" s="271">
        <v>0</v>
      </c>
      <c r="E106" s="271">
        <v>80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81</v>
      </c>
      <c r="D107" s="416">
        <f>SUM(D104:D106)</f>
        <v>0</v>
      </c>
      <c r="E107" s="416">
        <f>SUM(E104:E106)</f>
        <v>80</v>
      </c>
      <c r="F107" s="417">
        <f>SUM(F104:F106)</f>
        <v>1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0">
        <f>pdeReportingDate</f>
        <v>44102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Валентина Тодорова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tr">
        <f>'1-Баланс'!B103:E103</f>
        <v>Даниел Ризов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/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/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/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397</v>
      </c>
      <c r="G13" s="440"/>
      <c r="H13" s="440"/>
      <c r="I13" s="441">
        <f>F13+G13-H13</f>
        <v>397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397</v>
      </c>
      <c r="G18" s="447">
        <f t="shared" si="1"/>
        <v>0</v>
      </c>
      <c r="H18" s="447">
        <f t="shared" si="1"/>
        <v>0</v>
      </c>
      <c r="I18" s="448">
        <f t="shared" si="0"/>
        <v>397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11</v>
      </c>
      <c r="G26" s="440"/>
      <c r="H26" s="440"/>
      <c r="I26" s="441">
        <f t="shared" si="0"/>
        <v>11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</v>
      </c>
      <c r="G27" s="447">
        <f t="shared" si="2"/>
        <v>0</v>
      </c>
      <c r="H27" s="447">
        <f t="shared" si="2"/>
        <v>0</v>
      </c>
      <c r="I27" s="448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0">
        <f>pdeReportingDate</f>
        <v>44102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Валентина Тодорова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9" t="str">
        <f>'1-Баланс'!B103:E103</f>
        <v>Даниел Ризов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/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/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/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30.06.2020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115385</v>
      </c>
      <c r="D6" s="644">
        <f aca="true" t="shared" si="0" ref="D6:D15">C6-E6</f>
        <v>0</v>
      </c>
      <c r="E6" s="643">
        <f>'1-Баланс'!G95</f>
        <v>115385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33773</v>
      </c>
      <c r="D7" s="644">
        <f t="shared" si="0"/>
        <v>31450</v>
      </c>
      <c r="E7" s="643">
        <f>'1-Баланс'!G18</f>
        <v>2323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-2448</v>
      </c>
      <c r="D8" s="644">
        <f t="shared" si="0"/>
        <v>0</v>
      </c>
      <c r="E8" s="643">
        <f>ABS('2-Отчет за доходите'!C44)-ABS('2-Отчет за доходите'!G44)</f>
        <v>-2448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2156</v>
      </c>
      <c r="D9" s="644">
        <f t="shared" si="0"/>
        <v>0</v>
      </c>
      <c r="E9" s="643">
        <f>'3-Отчет за паричния поток'!C45</f>
        <v>2156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2387</v>
      </c>
      <c r="D10" s="644">
        <f t="shared" si="0"/>
        <v>0</v>
      </c>
      <c r="E10" s="643">
        <f>'3-Отчет за паричния поток'!C46</f>
        <v>2387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33773</v>
      </c>
      <c r="D11" s="644">
        <f t="shared" si="0"/>
        <v>0</v>
      </c>
      <c r="E11" s="643">
        <f>'4-Отчет за собствения капитал'!L34</f>
        <v>33773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197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200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2020-09-28T08:42:03Z</cp:lastPrinted>
  <dcterms:created xsi:type="dcterms:W3CDTF">2006-09-16T00:00:00Z</dcterms:created>
  <dcterms:modified xsi:type="dcterms:W3CDTF">2020-09-28T08:42:32Z</dcterms:modified>
  <cp:category/>
  <cp:version/>
  <cp:contentType/>
  <cp:contentStatus/>
</cp:coreProperties>
</file>