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35" tabRatio="946" activeTab="1"/>
  </bookViews>
  <sheets>
    <sheet name="НАЧАЛО" sheetId="1" r:id="rId1"/>
    <sheet name="баланс" sheetId="2" r:id="rId2"/>
    <sheet name="ОД" sheetId="3" r:id="rId3"/>
    <sheet name="ОВД" sheetId="4" r:id="rId4"/>
    <sheet name="ОПП" sheetId="5" r:id="rId5"/>
    <sheet name="СК" sheetId="6" r:id="rId6"/>
    <sheet name="-" sheetId="7" state="hidden" r:id="rId7"/>
  </sheets>
  <definedNames>
    <definedName name="_xlfn.IFERROR" hidden="1">#NAME?</definedName>
    <definedName name="AS2DocOpenMode" hidden="1">"AS2DocumentEdit"</definedName>
    <definedName name="JJ11">'-'!$M$52</definedName>
    <definedName name="JJ12">'-'!$M$53</definedName>
    <definedName name="JJ21">'-'!$M$54</definedName>
    <definedName name="JJ22">'-'!$M$55</definedName>
    <definedName name="JJ31">'-'!$M$56</definedName>
    <definedName name="JJ32">'-'!$M$57</definedName>
    <definedName name="JJ41">'-'!$M$58</definedName>
    <definedName name="JJ42">'-'!$M$59</definedName>
    <definedName name="JJ51">'-'!$M$60</definedName>
    <definedName name="JJ52">'-'!$M$61</definedName>
    <definedName name="JJ61">'-'!$M$62</definedName>
    <definedName name="JK11">'-'!$N$52</definedName>
    <definedName name="JK12">'-'!$N$53</definedName>
    <definedName name="JK21">'-'!$N$54</definedName>
    <definedName name="JK22">'-'!$N$55</definedName>
    <definedName name="JK31">'-'!$N$56</definedName>
    <definedName name="JK32">'-'!$N$57</definedName>
    <definedName name="JK41">'-'!$N$58</definedName>
    <definedName name="JK42">'-'!$N$59</definedName>
    <definedName name="JK51">'-'!$N$60</definedName>
    <definedName name="JK52">'-'!$N$61</definedName>
    <definedName name="JK61">'-'!$N$62</definedName>
    <definedName name="_xlnm.Print_Area" localSheetId="1">'баланс'!$A$1:$W$125</definedName>
    <definedName name="_xlnm.Print_Area" localSheetId="0">'НАЧАЛО'!$A$1:$I$57</definedName>
    <definedName name="_xlnm.Print_Area" localSheetId="3">'ОВД'!$A$1:$W$39</definedName>
    <definedName name="_xlnm.Print_Area" localSheetId="2">'ОД'!$A$1:$W$82</definedName>
    <definedName name="_xlnm.Print_Area" localSheetId="4">'ОПП'!$A$1:$W$93</definedName>
    <definedName name="_xlnm.Print_Area" localSheetId="5">'СК'!$A$1:$S$108</definedName>
    <definedName name="_xlnm.Print_Titles" localSheetId="3">'ОВД'!$1:$2</definedName>
    <definedName name="_xlnm.Print_Titles" localSheetId="2">'ОД'!$1:$2</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Z_0C92A18C_82C1_43C8_B8D2_6F7E21DEB0D9_.wvu.Cols" localSheetId="5" hidden="1">'СК'!#REF!</definedName>
    <definedName name="Z_2BD2C2C3_AF9C_11D6_9CEF_00D009775214_.wvu.Cols" localSheetId="5" hidden="1">'СК'!#REF!</definedName>
    <definedName name="Z_3DF3D3DF_0C20_498D_AC7F_CE0D39724717_.wvu.Cols" localSheetId="5" hidden="1">'СК'!#REF!</definedName>
    <definedName name="Z_9656BBF7_C4A3_41EC_B0C6_A21B380E3C2F_.wvu.Cols" localSheetId="5" hidden="1">'СК'!#REF!</definedName>
    <definedName name="Z_9656BBF7_C4A3_41EC_B0C6_A21B380E3C2F_.wvu.PrintArea" localSheetId="5" hidden="1">'СК'!$A$1:$S$99</definedName>
    <definedName name="ж53">'СК'!$A$4</definedName>
  </definedNames>
  <calcPr fullCalcOnLoad="1"/>
</workbook>
</file>

<file path=xl/comments1.xml><?xml version="1.0" encoding="utf-8"?>
<comments xmlns="http://schemas.openxmlformats.org/spreadsheetml/2006/main">
  <authors>
    <author>user</author>
    <author>Kalin</author>
  </authors>
  <commentList>
    <comment ref="D18" authorId="0">
      <text>
        <r>
          <rPr>
            <b/>
            <u val="single"/>
            <sz val="10"/>
            <color indexed="10"/>
            <rFont val="Tahoma"/>
            <family val="2"/>
          </rPr>
          <t>„Ейч Ел Би България” ООД</t>
        </r>
        <r>
          <rPr>
            <b/>
            <sz val="10"/>
            <color indexed="10"/>
            <rFont val="Tahoma"/>
            <family val="2"/>
          </rPr>
          <t>:
Имената на представляващия дружеството и съставителя на ГФО, както и датата на отчета се попълват само на тази страница, на указаните места!</t>
        </r>
        <r>
          <rPr>
            <b/>
            <sz val="10"/>
            <rFont val="Tahoma"/>
            <family val="2"/>
          </rPr>
          <t xml:space="preserve">
</t>
        </r>
        <r>
          <rPr>
            <sz val="8"/>
            <rFont val="Tahoma"/>
            <family val="2"/>
          </rPr>
          <t xml:space="preserve">
</t>
        </r>
      </text>
    </comment>
    <comment ref="O38" authorId="1">
      <text>
        <r>
          <rPr>
            <b/>
            <sz val="9"/>
            <rFont val="Tahoma"/>
            <family val="2"/>
          </rPr>
          <t xml:space="preserve">Kalin:
За годишните отчети
не по-късно от 31.03. </t>
        </r>
        <r>
          <rPr>
            <sz val="9"/>
            <rFont val="Tahoma"/>
            <family val="2"/>
          </rPr>
          <t xml:space="preserve">
</t>
        </r>
      </text>
    </comment>
    <comment ref="O36" authorId="1">
      <text>
        <r>
          <rPr>
            <b/>
            <sz val="9"/>
            <rFont val="Tahoma"/>
            <family val="2"/>
          </rPr>
          <t>Kalin:</t>
        </r>
        <r>
          <rPr>
            <sz val="9"/>
            <rFont val="Tahoma"/>
            <family val="2"/>
          </rPr>
          <t xml:space="preserve">
</t>
        </r>
        <r>
          <rPr>
            <b/>
            <sz val="9"/>
            <rFont val="Tahoma"/>
            <family val="2"/>
          </rPr>
          <t>Формат на датата:
дд.мм.гггг</t>
        </r>
        <r>
          <rPr>
            <sz val="9"/>
            <rFont val="Tahoma"/>
            <family val="2"/>
          </rPr>
          <t xml:space="preserve">
</t>
        </r>
      </text>
    </comment>
  </commentList>
</comments>
</file>

<file path=xl/comments5.xml><?xml version="1.0" encoding="utf-8"?>
<comments xmlns="http://schemas.openxmlformats.org/spreadsheetml/2006/main">
  <authors>
    <author>Kalin</author>
  </authors>
  <commentList>
    <comment ref="A11"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12"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22"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23"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25"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26"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20" authorId="0">
      <text>
        <r>
          <rPr>
            <b/>
            <sz val="9"/>
            <rFont val="Tahoma"/>
            <family val="2"/>
          </rPr>
          <t>Kalin:</t>
        </r>
        <r>
          <rPr>
            <sz val="9"/>
            <rFont val="Tahoma"/>
            <family val="2"/>
          </rPr>
          <t xml:space="preserve">
За дружества, за които това е основна дейност!</t>
        </r>
      </text>
    </comment>
    <comment ref="A45"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46"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48"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49"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67"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68" authorId="0">
      <text>
        <r>
          <rPr>
            <b/>
            <sz val="9"/>
            <rFont val="Tahoma"/>
            <family val="2"/>
          </rPr>
          <t>Kalin:</t>
        </r>
        <r>
          <rPr>
            <sz val="9"/>
            <rFont val="Tahoma"/>
            <family val="2"/>
          </rPr>
          <t xml:space="preserve">
Редът да се използва при наличие на съществени постъпления и плащания!</t>
        </r>
      </text>
    </comment>
    <comment ref="A70"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71" authorId="0">
      <text>
        <r>
          <rPr>
            <b/>
            <sz val="9"/>
            <rFont val="Tahoma"/>
            <family val="2"/>
          </rPr>
          <t>Kalin:</t>
        </r>
        <r>
          <rPr>
            <sz val="9"/>
            <rFont val="Tahoma"/>
            <family val="2"/>
          </rPr>
          <t xml:space="preserve">
Редът да се използва при наличие на съществени постъпления и плащания!
Ако не сумите се представят нетно на горния ред!</t>
        </r>
      </text>
    </comment>
    <comment ref="A19" authorId="0">
      <text>
        <r>
          <rPr>
            <b/>
            <sz val="9"/>
            <rFont val="Tahoma"/>
            <family val="2"/>
          </rPr>
          <t>Kalin:</t>
        </r>
        <r>
          <rPr>
            <sz val="9"/>
            <rFont val="Tahoma"/>
            <family val="2"/>
          </rPr>
          <t xml:space="preserve">
Редът да се изпозва при наличие на съществени суми!
</t>
        </r>
      </text>
    </comment>
    <comment ref="A58" authorId="0">
      <text>
        <r>
          <rPr>
            <b/>
            <sz val="9"/>
            <rFont val="Tahoma"/>
            <family val="2"/>
          </rPr>
          <t>Kalin:</t>
        </r>
        <r>
          <rPr>
            <sz val="9"/>
            <rFont val="Tahoma"/>
            <family val="2"/>
          </rPr>
          <t xml:space="preserve">
Редът да се изпозва при наличие на съществени суми!</t>
        </r>
      </text>
    </comment>
  </commentList>
</comments>
</file>

<file path=xl/sharedStrings.xml><?xml version="1.0" encoding="utf-8"?>
<sst xmlns="http://schemas.openxmlformats.org/spreadsheetml/2006/main" count="418" uniqueCount="261">
  <si>
    <t>в т.ч. печалба/загуба за групата</t>
  </si>
  <si>
    <t>в т.ч. печалба/загуба непринадлежаща на групата</t>
  </si>
  <si>
    <t>Постъпления от контрагенти</t>
  </si>
  <si>
    <t>Плащания на контрагенти</t>
  </si>
  <si>
    <t>Други парични потоци от оперативна дейност</t>
  </si>
  <si>
    <t>Други парични потоци от инвестиционна дейност</t>
  </si>
  <si>
    <t>Парични потоци от инвестиционна дейност</t>
  </si>
  <si>
    <t xml:space="preserve">Платени корпоративни данъци </t>
  </si>
  <si>
    <t>Покупки на финансови активи</t>
  </si>
  <si>
    <t>Постъпления от продажба на финансови активи</t>
  </si>
  <si>
    <t>Нето парични средства използвани в инвестиционната дейност</t>
  </si>
  <si>
    <t>Нетно изменение на паричните средства и паричните еквиваленти</t>
  </si>
  <si>
    <t>Общо нетекущи  пасиви</t>
  </si>
  <si>
    <t>Общо текущи пасиви</t>
  </si>
  <si>
    <t>Плащания при бизнескомбинации-придобивания</t>
  </si>
  <si>
    <t>КК</t>
  </si>
  <si>
    <t>КОНСОЛИДИРАН</t>
  </si>
  <si>
    <t>Разпределение на резерви</t>
  </si>
  <si>
    <t>ОПР</t>
  </si>
  <si>
    <t>НАЧАЛО</t>
  </si>
  <si>
    <t>баланс</t>
  </si>
  <si>
    <t>ОПП</t>
  </si>
  <si>
    <t>СК</t>
  </si>
  <si>
    <t>в четирите форми или Функция HIDE</t>
  </si>
  <si>
    <t>да се скрият. Използвайте клавишите за скриване и показване на редове и колони</t>
  </si>
  <si>
    <t xml:space="preserve">6. Във файла има интегрирани Макроси/Macros. За да работят клавишите </t>
  </si>
  <si>
    <t>за скриване и показване на редовете и колоните трябва да разрешите Макросите.</t>
  </si>
  <si>
    <r>
      <rPr>
        <b/>
        <sz val="10"/>
        <rFont val="Garamond"/>
        <family val="1"/>
      </rPr>
      <t>Tools</t>
    </r>
    <r>
      <rPr>
        <sz val="10"/>
        <rFont val="Garamond"/>
        <family val="1"/>
      </rPr>
      <t>-</t>
    </r>
    <r>
      <rPr>
        <b/>
        <sz val="10"/>
        <rFont val="Garamond"/>
        <family val="1"/>
      </rPr>
      <t>&gt;Macro</t>
    </r>
    <r>
      <rPr>
        <sz val="10"/>
        <rFont val="Garamond"/>
        <family val="1"/>
      </rPr>
      <t>-</t>
    </r>
    <r>
      <rPr>
        <b/>
        <sz val="10"/>
        <rFont val="Garamond"/>
        <family val="1"/>
      </rPr>
      <t>&gt;Security</t>
    </r>
    <r>
      <rPr>
        <sz val="10"/>
        <rFont val="Garamond"/>
        <family val="1"/>
      </rPr>
      <t xml:space="preserve">, в появилия се прозорец избирате </t>
    </r>
    <r>
      <rPr>
        <b/>
        <sz val="10"/>
        <rFont val="Garamond"/>
        <family val="1"/>
      </rPr>
      <t>Medium</t>
    </r>
    <r>
      <rPr>
        <sz val="10"/>
        <rFont val="Garamond"/>
        <family val="1"/>
      </rPr>
      <t xml:space="preserve"> и </t>
    </r>
    <r>
      <rPr>
        <b/>
        <sz val="10"/>
        <rFont val="Garamond"/>
        <family val="1"/>
      </rPr>
      <t>ОК</t>
    </r>
    <r>
      <rPr>
        <sz val="10"/>
        <rFont val="Garamond"/>
        <family val="1"/>
      </rPr>
      <t xml:space="preserve">. </t>
    </r>
  </si>
  <si>
    <r>
      <t xml:space="preserve">При влизане във файла се появява прозорец, в който избирате </t>
    </r>
    <r>
      <rPr>
        <b/>
        <sz val="10"/>
        <rFont val="Garamond"/>
        <family val="1"/>
      </rPr>
      <t>Enable Macros</t>
    </r>
    <r>
      <rPr>
        <sz val="10"/>
        <rFont val="Garamond"/>
        <family val="1"/>
      </rPr>
      <t>.</t>
    </r>
  </si>
  <si>
    <r>
      <t xml:space="preserve">между менюто и таблицата) избирате бутона </t>
    </r>
    <r>
      <rPr>
        <b/>
        <sz val="10"/>
        <rFont val="Garamond"/>
        <family val="1"/>
      </rPr>
      <t>Options</t>
    </r>
    <r>
      <rPr>
        <sz val="10"/>
        <rFont val="Garamond"/>
        <family val="1"/>
      </rPr>
      <t xml:space="preserve">. В появилия се прозорец </t>
    </r>
  </si>
  <si>
    <r>
      <t xml:space="preserve">избирате </t>
    </r>
    <r>
      <rPr>
        <b/>
        <sz val="10"/>
        <rFont val="Garamond"/>
        <family val="1"/>
      </rPr>
      <t>Enable this content</t>
    </r>
    <r>
      <rPr>
        <sz val="10"/>
        <rFont val="Garamond"/>
        <family val="1"/>
      </rPr>
      <t xml:space="preserve"> и </t>
    </r>
    <r>
      <rPr>
        <b/>
        <sz val="10"/>
        <rFont val="Garamond"/>
        <family val="1"/>
      </rPr>
      <t>ОК</t>
    </r>
    <r>
      <rPr>
        <sz val="10"/>
        <rFont val="Garamond"/>
        <family val="1"/>
      </rPr>
      <t>.</t>
    </r>
  </si>
  <si>
    <t>7. Всички справки са странирани за разпечатване.</t>
  </si>
  <si>
    <t>и отчет за собствения капитал. Останалите справки се копират в оповестяването.</t>
  </si>
  <si>
    <t>8. От отчета се разпечатват заглавната страница /настоящата/, ОПР, баланс, ОПП</t>
  </si>
  <si>
    <t>КП</t>
  </si>
  <si>
    <t xml:space="preserve">Въведете страниците ТУК!        </t>
  </si>
  <si>
    <t xml:space="preserve">От: </t>
  </si>
  <si>
    <t xml:space="preserve">До: </t>
  </si>
  <si>
    <t>вид отчет</t>
  </si>
  <si>
    <t>Въведете име на одитора на Консолидационния Пакет ТУК!</t>
  </si>
  <si>
    <t xml:space="preserve">КОНСОЛИДИРАН </t>
  </si>
  <si>
    <t xml:space="preserve">КОНСОЛИДАЦИОНЕН ПАКЕТ - </t>
  </si>
  <si>
    <r>
      <t xml:space="preserve">  </t>
    </r>
    <r>
      <rPr>
        <u val="single"/>
        <sz val="10"/>
        <rFont val="Garamond"/>
        <family val="1"/>
      </rPr>
      <t>За Excel 2007</t>
    </r>
    <r>
      <rPr>
        <sz val="10"/>
        <rFont val="Garamond"/>
        <family val="1"/>
      </rPr>
      <t xml:space="preserve"> - след като влезете във файла, в полето </t>
    </r>
    <r>
      <rPr>
        <b/>
        <sz val="10"/>
        <rFont val="Garamond"/>
        <family val="1"/>
      </rPr>
      <t>Security Warning</t>
    </r>
    <r>
      <rPr>
        <sz val="10"/>
        <rFont val="Garamond"/>
        <family val="1"/>
      </rPr>
      <t xml:space="preserve"> (намира се </t>
    </r>
  </si>
  <si>
    <r>
      <t xml:space="preserve">  </t>
    </r>
    <r>
      <rPr>
        <u val="single"/>
        <sz val="10"/>
        <rFont val="Garamond"/>
        <family val="1"/>
      </rPr>
      <t>За всички версии на Excel до версия 2003</t>
    </r>
    <r>
      <rPr>
        <sz val="10"/>
        <rFont val="Garamond"/>
        <family val="1"/>
      </rPr>
      <t xml:space="preserve"> - от менюто избирате </t>
    </r>
  </si>
  <si>
    <t>Безвъзмездни средства предоставени от държавата</t>
  </si>
  <si>
    <t>Приходи от безвъзмездни средства предоставени от държавата</t>
  </si>
  <si>
    <t>Нетекущи провизии</t>
  </si>
  <si>
    <t>Текущи провизии</t>
  </si>
  <si>
    <t>СОБСТВЕН КАПИТАЛ И ПАСИВ</t>
  </si>
  <si>
    <t>Сума на собствен капитал и пасива</t>
  </si>
  <si>
    <t>Изберете вид на отчета в зависимост от това дали дружеството изготвя</t>
  </si>
  <si>
    <t>консолидиран отчет или не. В случай, че дружеството изготвя консолидиран</t>
  </si>
  <si>
    <t>отчет въведете "К", ако не изготвя въведете "С"!</t>
  </si>
  <si>
    <t>9. Файлът работи коректно до:</t>
  </si>
  <si>
    <t>Дял от резултати на асоциирани предприятия</t>
  </si>
  <si>
    <t>Инвестиции отчетени по метода на собствения капитал</t>
  </si>
  <si>
    <t>Изменения от прилагане на метода на собствения капитал</t>
  </si>
  <si>
    <t>Друг всеобхватен доход</t>
  </si>
  <si>
    <t>Резерв от преоценки</t>
  </si>
  <si>
    <t>Общи и други резерви</t>
  </si>
  <si>
    <t>Печалби/Загуби от преоценка на финансови активи, на разположение за продажба</t>
  </si>
  <si>
    <t>Данъци върху позиции от друг всеобхватен доход</t>
  </si>
  <si>
    <t>Актюерски печалби и загуби</t>
  </si>
  <si>
    <t>Преизчисления на чуждестранни дейности</t>
  </si>
  <si>
    <t>Ефективна част от хеджиране на парични потоци</t>
  </si>
  <si>
    <t>Възстановени данъци (без корпоративни данъци )</t>
  </si>
  <si>
    <t>Плащания при разпределение на печалба</t>
  </si>
  <si>
    <t>Постъпления от продажби на участия</t>
  </si>
  <si>
    <t>Плащания по предоставени депозити</t>
  </si>
  <si>
    <t>Постъпления от предоставени депозити</t>
  </si>
  <si>
    <t>Получени лихви по предоставени депозити</t>
  </si>
  <si>
    <t>Плащания по предоставени заеми</t>
  </si>
  <si>
    <t>Постъпления от предоставени заеми</t>
  </si>
  <si>
    <t>Получени лихви по предоставени заеми</t>
  </si>
  <si>
    <t>Курсови разлики, нето</t>
  </si>
  <si>
    <t>Постъпления по получени заеми</t>
  </si>
  <si>
    <t>Плащания по получени заеми</t>
  </si>
  <si>
    <t>Постъпления по получени депозити</t>
  </si>
  <si>
    <t>Плащания по получени депозити</t>
  </si>
  <si>
    <t>Платени лихви и такси по получени заеми</t>
  </si>
  <si>
    <t>Платени лихви по получени депозити</t>
  </si>
  <si>
    <t xml:space="preserve">Възтановени корпоративни данъци </t>
  </si>
  <si>
    <t>Изплатени дивиденти</t>
  </si>
  <si>
    <t>Изплатени дивиденти на малцинствено участие</t>
  </si>
  <si>
    <t>Платени лихви и такси по получени оборотни заеми</t>
  </si>
  <si>
    <t>Постъпления от финансов лизинг</t>
  </si>
  <si>
    <t>Плащания по финансов лизинг</t>
  </si>
  <si>
    <t>Получени дивиденти</t>
  </si>
  <si>
    <t>*</t>
  </si>
  <si>
    <t>Придобити/Освободени дейности</t>
  </si>
  <si>
    <t>Общ всеобхватен доход</t>
  </si>
  <si>
    <t>в т.ч. общ всеобхватен доход за групата</t>
  </si>
  <si>
    <t>Печалба/загуба от продължаващи дейности</t>
  </si>
  <si>
    <t>Печалба/загуба от преустановени дейности</t>
  </si>
  <si>
    <t>* преизчислен, рекласифициран</t>
  </si>
  <si>
    <t>Потоци за персонал и социално осигуряване, нето</t>
  </si>
  <si>
    <t>Постъпления свързани с персонал и социално осигуряване</t>
  </si>
  <si>
    <t>Плащания свързани с персонал и социално осигуряване</t>
  </si>
  <si>
    <t>Курсови разлики - постъления</t>
  </si>
  <si>
    <t>Курсови разлики - плащания</t>
  </si>
  <si>
    <t>Други парични потоци от оперативна дейност - постъпления</t>
  </si>
  <si>
    <t>Други парични потоци от оперативна дейност - плащания</t>
  </si>
  <si>
    <t>Други парични потоци от инвестиционна дейност - постъпления</t>
  </si>
  <si>
    <t>Други парични потоци от инвестиционна дейност - плащания</t>
  </si>
  <si>
    <t>Плащания при разпределение на печалба за малцинствено участие</t>
  </si>
  <si>
    <t>от продължаващи дейности</t>
  </si>
  <si>
    <t>от преустановени дейности</t>
  </si>
  <si>
    <t>BGN</t>
  </si>
  <si>
    <t>Основна нетна печалба на акция</t>
  </si>
  <si>
    <t xml:space="preserve">Нетната печалба на акция с намалена стойност </t>
  </si>
  <si>
    <t>Постъпления от промени в участия в дъщерни предприятия, които не
водят до загуба на контрол</t>
  </si>
  <si>
    <t>Плащания за промени в участия в дъщерни предприятия, които не
водят до загуба на контрол</t>
  </si>
  <si>
    <t>Собствен капитал за Групата</t>
  </si>
  <si>
    <t>Печалби/Загуби от преоценка на нетекущи активи</t>
  </si>
  <si>
    <t>Отписан резерв от преоценки</t>
  </si>
  <si>
    <t>Имоти, машини и съоръжения</t>
  </si>
  <si>
    <t>Пари и парични еквиваленти</t>
  </si>
  <si>
    <t>Неконтролиращо участие</t>
  </si>
  <si>
    <t>Резултат от освобождаване от нетекущи активи</t>
  </si>
  <si>
    <t>в т.ч. печалба/загуба за неконтролиращото участие</t>
  </si>
  <si>
    <t>в т.ч. общ всеобхватен доход за неконтролиращото участие</t>
  </si>
  <si>
    <t>Собствен капитал за НУ</t>
  </si>
  <si>
    <t>ване в данните по съответните справки ще се появят предупреждeния.</t>
  </si>
  <si>
    <t>Резерв на финансови ативи прекласифицирани в печалба или загуба при продажба</t>
  </si>
  <si>
    <t>Резерв от хеджирани прогнозни позиции - сделки, прекласифициран в печалба или загуба</t>
  </si>
  <si>
    <t>Резерв от преизчисление на чуждестранни дейности, прекласифициран в печалба или загуба</t>
  </si>
  <si>
    <t>Промени в участия в дъщерни предприятия без загуба на контрол</t>
  </si>
  <si>
    <t>Резерв от преизчисления</t>
  </si>
  <si>
    <t>ЖЕЛЕЗОПЪТНА ИНФРАСТРУКТУРА ХОЛДИНГОВО ДРУЖЕСТВО АД</t>
  </si>
  <si>
    <t>Явор Хайтов                          Красимир Сланчев</t>
  </si>
  <si>
    <t>Боряна Машова</t>
  </si>
  <si>
    <t>Приложение</t>
  </si>
  <si>
    <t>Разходи за външни услуги</t>
  </si>
  <si>
    <t>Разходи за амортизации</t>
  </si>
  <si>
    <t>Други разходи</t>
  </si>
  <si>
    <t>Балансова стойност на продадени активи (без продукция)</t>
  </si>
  <si>
    <t>АКТИВ</t>
  </si>
  <si>
    <t>Покупки на дълготрайни активи</t>
  </si>
  <si>
    <t>Постъпления от продажба на дълготрайни активи</t>
  </si>
  <si>
    <t>Парични средства и парични еквиваленти на 1 януари</t>
  </si>
  <si>
    <t>Съставител:</t>
  </si>
  <si>
    <t>BGN'000</t>
  </si>
  <si>
    <t>Разходи по икономически елементи</t>
  </si>
  <si>
    <t>Суми с корективен характер</t>
  </si>
  <si>
    <t>Дълготрайни нематериални активи</t>
  </si>
  <si>
    <t>Материални запаси</t>
  </si>
  <si>
    <t>Собствен капитал</t>
  </si>
  <si>
    <t>Основен капитал</t>
  </si>
  <si>
    <t>Общо собствен капитал</t>
  </si>
  <si>
    <t>Резерви</t>
  </si>
  <si>
    <t>Финансов резултат</t>
  </si>
  <si>
    <t>Натрупани печалби/ загуби</t>
  </si>
  <si>
    <t xml:space="preserve"> </t>
  </si>
  <si>
    <t>Други парични потоци от финансова дейност</t>
  </si>
  <si>
    <t>Текущи активи</t>
  </si>
  <si>
    <t>Данъчни задължения</t>
  </si>
  <si>
    <t>Платени данъци (без корпоративни данъци )</t>
  </si>
  <si>
    <t>Други</t>
  </si>
  <si>
    <t>Активи по отсрочени данъци</t>
  </si>
  <si>
    <t>Инвестиционни имоти</t>
  </si>
  <si>
    <t>Други изменения в собствения капитал</t>
  </si>
  <si>
    <t xml:space="preserve">Промени в началните салда, поради промяна в счетоводната политика,  грешки и др. </t>
  </si>
  <si>
    <t>Текущ данък</t>
  </si>
  <si>
    <t>Разход за данъци</t>
  </si>
  <si>
    <t>Промени в наличностите на готовата продукция и незавършено производство</t>
  </si>
  <si>
    <t>Използвани суровини, материали и консумативи</t>
  </si>
  <si>
    <t>Нетекущи  пасиви</t>
  </si>
  <si>
    <t>Текущи пасиви</t>
  </si>
  <si>
    <t>Дивиденти</t>
  </si>
  <si>
    <t xml:space="preserve">Общо приходи </t>
  </si>
  <si>
    <t xml:space="preserve">Приходи </t>
  </si>
  <si>
    <t>Продукция</t>
  </si>
  <si>
    <t>Услуги</t>
  </si>
  <si>
    <t>Стоки</t>
  </si>
  <si>
    <t xml:space="preserve">Разходи </t>
  </si>
  <si>
    <t>Обезценка на активи</t>
  </si>
  <si>
    <t>Разходи капитализирани в стойността на активи</t>
  </si>
  <si>
    <t xml:space="preserve">Финансови разходи </t>
  </si>
  <si>
    <t>Финансови приходи</t>
  </si>
  <si>
    <t>Нетни приходи от продажби</t>
  </si>
  <si>
    <t>Печалба/загуба преди разходи за данъци</t>
  </si>
  <si>
    <t>Изменение за сметка на отсрочени данъци</t>
  </si>
  <si>
    <t>Печалба/загуба</t>
  </si>
  <si>
    <t>Общо разходи без разходи за данъци</t>
  </si>
  <si>
    <t>Печалба/загуба за годината</t>
  </si>
  <si>
    <t>Регистриран капитал</t>
  </si>
  <si>
    <t>Невнесен капитал</t>
  </si>
  <si>
    <t>Изкупени собствени акции</t>
  </si>
  <si>
    <t>Нетекущи финансови пасиви</t>
  </si>
  <si>
    <t>Приходи от правителствени дарения</t>
  </si>
  <si>
    <t>Текущи финансови пасиви</t>
  </si>
  <si>
    <t>Задължения към персонала</t>
  </si>
  <si>
    <t>Постъпления от емитирането на акции или други капиталови инструменти</t>
  </si>
  <si>
    <t>Плащания за обратно изкупуване на акции или други капиталови инструменти</t>
  </si>
  <si>
    <t>Парични  потоци от оперативна дейност</t>
  </si>
  <si>
    <t>Нетни парични потоци от оперативна дейност</t>
  </si>
  <si>
    <t>Парични потоци от финансова дейност</t>
  </si>
  <si>
    <t>Нето парични средства използвани във финансовата дейност</t>
  </si>
  <si>
    <t>Емисия на  капитал</t>
  </si>
  <si>
    <t>Печалба /загуба за периода</t>
  </si>
  <si>
    <t>Разпределение на печалба</t>
  </si>
  <si>
    <t>Разходи за заплати и осигуровки на персонала</t>
  </si>
  <si>
    <t>Натрупани печалби/загуби</t>
  </si>
  <si>
    <t>Представляващ:</t>
  </si>
  <si>
    <t>УКАЗАНИЯ ЗА ПОПЪЛВАНЕ НА ОТЧЕТА</t>
  </si>
  <si>
    <t>1. Всички общи данни се попълват само в таблицата по-долу!</t>
  </si>
  <si>
    <t>2. Данните за дружеството, представляващия, съставителя, датата на отчета</t>
  </si>
  <si>
    <t>3. В отчета има засечки между всички компоненти, при евентуално разми-</t>
  </si>
  <si>
    <t>4. Ненужните редове по четирите форми и приложенията НЕ ТРЯБВА</t>
  </si>
  <si>
    <t>ДА СЕ ТРИЯТ! В случай, че има излишни /празни/ редове, то те трябва</t>
  </si>
  <si>
    <t>5. Допълнителни редове НЕ ТРЯБВА ДА СЕ ПРИБАВЯТ!</t>
  </si>
  <si>
    <t>Въведете име на Дружеството ТУК!</t>
  </si>
  <si>
    <t>Избор на вид отчет ТУК!</t>
  </si>
  <si>
    <t>Въведете дата на отчета ТУК!</t>
  </si>
  <si>
    <t>Въведете дата на съставяне ТУК!</t>
  </si>
  <si>
    <t>ПОЛЕТА! Данните се разнасят автоматично по компонентите.</t>
  </si>
  <si>
    <t>и броя на страниците се попълват САМО ТУК, САМО В ЖЪЛТИТЕ</t>
  </si>
  <si>
    <t>Въведете име на съставителя ТУК!</t>
  </si>
  <si>
    <t>Въведете име на управителя ТУК!</t>
  </si>
  <si>
    <t>Въведете име на одитора ТУК!</t>
  </si>
  <si>
    <t>Въведете броя на страниците на оповестяването в полето по-долу!</t>
  </si>
  <si>
    <t>Първата страница на оповестяването следва да започва след тази на</t>
  </si>
  <si>
    <t>отчета за собствения капитал - №6</t>
  </si>
  <si>
    <t>януари</t>
  </si>
  <si>
    <t>февруари</t>
  </si>
  <si>
    <t>март</t>
  </si>
  <si>
    <t>април</t>
  </si>
  <si>
    <t>май</t>
  </si>
  <si>
    <t>юни</t>
  </si>
  <si>
    <t>юли</t>
  </si>
  <si>
    <t>август</t>
  </si>
  <si>
    <t>септември</t>
  </si>
  <si>
    <t>октомври</t>
  </si>
  <si>
    <t>ноември</t>
  </si>
  <si>
    <t>декември</t>
  </si>
  <si>
    <t>Въведете град на регистрация ТУК!</t>
  </si>
  <si>
    <t>София</t>
  </si>
  <si>
    <t>Пасиви по отсрочени данъци</t>
  </si>
  <si>
    <t>К</t>
  </si>
  <si>
    <t>С</t>
  </si>
  <si>
    <t>САМОСТОЯТЕЛЕН</t>
  </si>
  <si>
    <t>ИНДИВИДУАЛЕН</t>
  </si>
  <si>
    <t>Общо текущи активи</t>
  </si>
  <si>
    <t>Общо нетекущи активи</t>
  </si>
  <si>
    <t>Нетекущи търговски и други вземания</t>
  </si>
  <si>
    <t>Търговска репутация</t>
  </si>
  <si>
    <t>Текущи търговски и други вземания</t>
  </si>
  <si>
    <t>Сума на актива</t>
  </si>
  <si>
    <t>Данъци за въстановяване</t>
  </si>
  <si>
    <t>Нетекущи финансови активи</t>
  </si>
  <si>
    <t>Нетекущи търговски и други задължения</t>
  </si>
  <si>
    <t>Нетекущи активи</t>
  </si>
  <si>
    <t>Текущи финансови активи</t>
  </si>
  <si>
    <r>
      <t xml:space="preserve">Пасиви държани за продажба </t>
    </r>
    <r>
      <rPr>
        <sz val="11"/>
        <color indexed="10"/>
        <rFont val="Garamond"/>
        <family val="1"/>
      </rPr>
      <t>/поМСФО5/</t>
    </r>
  </si>
  <si>
    <r>
      <t xml:space="preserve">Активи държани за продажба </t>
    </r>
    <r>
      <rPr>
        <sz val="11"/>
        <color indexed="10"/>
        <rFont val="Garamond"/>
        <family val="1"/>
      </rPr>
      <t>/поМСФО5/</t>
    </r>
  </si>
  <si>
    <t>Премии от емисии</t>
  </si>
  <si>
    <t>………………….</t>
  </si>
  <si>
    <t>СОП „Ейч Ел Би България” ООД</t>
  </si>
  <si>
    <t>Собствен капитал за групата</t>
  </si>
  <si>
    <t>Текущи търговски и други задължения</t>
  </si>
  <si>
    <t>Резултат от продажба на активи държани за продажба - МСФО 5</t>
  </si>
</sst>
</file>

<file path=xl/styles.xml><?xml version="1.0" encoding="utf-8"?>
<styleSheet xmlns="http://schemas.openxmlformats.org/spreadsheetml/2006/main">
  <numFmts count="6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лв&quot;#,##0_);\(&quot;лв&quot;#,##0\)"/>
    <numFmt numFmtId="173" formatCode="&quot;лв&quot;#,##0_);[Red]\(&quot;лв&quot;#,##0\)"/>
    <numFmt numFmtId="174" formatCode="&quot;лв&quot;#,##0.00_);\(&quot;лв&quot;#,##0.00\)"/>
    <numFmt numFmtId="175" formatCode="&quot;лв&quot;#,##0.00_);[Red]\(&quot;лв&quot;#,##0.00\)"/>
    <numFmt numFmtId="176" formatCode="_(&quot;лв&quot;* #,##0_);_(&quot;лв&quot;* \(#,##0\);_(&quot;лв&quot;* &quot;-&quot;_);_(@_)"/>
    <numFmt numFmtId="177" formatCode="_(* #,##0_);_(* \(#,##0\);_(* &quot;-&quot;_);_(@_)"/>
    <numFmt numFmtId="178" formatCode="_(&quot;лв&quot;* #,##0.00_);_(&quot;лв&quot;* \(#,##0.00\);_(&quot;лв&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_);\(0\)"/>
    <numFmt numFmtId="193" formatCode="_(* #,##0_);_(* \(#,##0\);_(* &quot;-&quot;??_);_(@_)"/>
    <numFmt numFmtId="194" formatCode="[$-402]dd\ mmmm\ yyyy\ &quot;г.&quot;"/>
    <numFmt numFmtId="195" formatCode="&quot;Yes&quot;;&quot;Yes&quot;;&quot;No&quot;"/>
    <numFmt numFmtId="196" formatCode="&quot;True&quot;;&quot;True&quot;;&quot;False&quot;"/>
    <numFmt numFmtId="197" formatCode="&quot;On&quot;;&quot;On&quot;;&quot;Off&quot;"/>
    <numFmt numFmtId="198" formatCode="[$€-2]\ #,##0.00_);[Red]\([$€-2]\ #,##0.00\)"/>
    <numFmt numFmtId="199" formatCode="#,##0_ ;\-#,##0\ "/>
    <numFmt numFmtId="200" formatCode="[$-F800]dddd\,\ mmmm\ dd\,\ yyyy"/>
    <numFmt numFmtId="201" formatCode="[$-402]dd\ mmmm\ yyyy\ &quot;г.&quot;;@"/>
    <numFmt numFmtId="202" formatCode="dd\.mm\.yyyy\ &quot;г.&quot;;@"/>
    <numFmt numFmtId="203" formatCode="hh:mm\ &quot;ч.&quot;"/>
    <numFmt numFmtId="204" formatCode="dd\.m\.yyyy\ &quot;г.&quot;;@"/>
    <numFmt numFmtId="205" formatCode="d\.m\.yyyy\ &quot;г.&quot;;@"/>
    <numFmt numFmtId="206" formatCode="0.000"/>
    <numFmt numFmtId="207" formatCode="0.0000000"/>
    <numFmt numFmtId="208" formatCode="0.000000"/>
    <numFmt numFmtId="209" formatCode="0.00000"/>
    <numFmt numFmtId="210" formatCode="0.0000"/>
    <numFmt numFmtId="211" formatCode="_(* #,##0.0_);_(* \(#,##0.0\);_(* &quot;-&quot;??_);_(@_)"/>
    <numFmt numFmtId="212" formatCode="_(* #,##0.000_);_(* \(#,##0.000\);_(* &quot;-&quot;??_);_(@_)"/>
    <numFmt numFmtId="213" formatCode="#,##0.0"/>
    <numFmt numFmtId="214" formatCode="_-* #,##0.00,&quot;лв&quot;_-;\-* #,##0.00,&quot;лв&quot;_-;_-* \-??&quot; лв&quot;_-;_-@_-"/>
    <numFmt numFmtId="215" formatCode="_-* #,##0\ &quot; &quot;_-;\-* #,##0\ &quot; &quot;_-;_-* &quot;-&quot;\ &quot; &quot;_-;_-@_-"/>
    <numFmt numFmtId="216" formatCode="_(* #,##0.0_);_(* \(#,##0.0\);_(* &quot;-&quot;_);_(@_)"/>
    <numFmt numFmtId="217" formatCode="_(* #,##0.00_);_(* \(#,##0.00\);_(* &quot;-&quot;_);_(@_)"/>
    <numFmt numFmtId="218" formatCode="dd/m/yyyy\ &quot;г.&quot;;@"/>
    <numFmt numFmtId="219" formatCode="0.0%"/>
    <numFmt numFmtId="220" formatCode="&quot;Да&quot;;&quot;Да&quot;;&quot;Не&quot;"/>
    <numFmt numFmtId="221" formatCode="&quot;Истина&quot;;&quot; Истина &quot;;&quot; Неистина &quot;"/>
    <numFmt numFmtId="222" formatCode="&quot;Включено&quot;;&quot; Включено &quot;;&quot; Изключено &quot;"/>
  </numFmts>
  <fonts count="73">
    <font>
      <sz val="10"/>
      <name val="Arial"/>
      <family val="0"/>
    </font>
    <font>
      <u val="single"/>
      <sz val="10"/>
      <color indexed="36"/>
      <name val="Hebar"/>
      <family val="2"/>
    </font>
    <font>
      <u val="single"/>
      <sz val="10"/>
      <color indexed="12"/>
      <name val="Hebar"/>
      <family val="2"/>
    </font>
    <font>
      <sz val="10"/>
      <name val="OpalB"/>
      <family val="0"/>
    </font>
    <font>
      <sz val="10"/>
      <name val="Hebar"/>
      <family val="2"/>
    </font>
    <font>
      <sz val="8"/>
      <name val="Tahoma"/>
      <family val="2"/>
    </font>
    <font>
      <b/>
      <sz val="10"/>
      <color indexed="10"/>
      <name val="Tahoma"/>
      <family val="2"/>
    </font>
    <font>
      <b/>
      <sz val="10"/>
      <name val="Tahoma"/>
      <family val="2"/>
    </font>
    <font>
      <sz val="9"/>
      <name val="Tahoma"/>
      <family val="2"/>
    </font>
    <font>
      <b/>
      <sz val="9"/>
      <name val="Tahoma"/>
      <family val="2"/>
    </font>
    <font>
      <b/>
      <sz val="11"/>
      <name val="Garamond"/>
      <family val="1"/>
    </font>
    <font>
      <sz val="11"/>
      <name val="Garamond"/>
      <family val="1"/>
    </font>
    <font>
      <sz val="10"/>
      <name val="Garamond"/>
      <family val="1"/>
    </font>
    <font>
      <sz val="12"/>
      <name val="Garamond"/>
      <family val="1"/>
    </font>
    <font>
      <b/>
      <sz val="8"/>
      <name val="Garamond"/>
      <family val="1"/>
    </font>
    <font>
      <b/>
      <sz val="12"/>
      <name val="Garamond"/>
      <family val="1"/>
    </font>
    <font>
      <b/>
      <i/>
      <sz val="11"/>
      <name val="Garamond"/>
      <family val="1"/>
    </font>
    <font>
      <sz val="11"/>
      <color indexed="8"/>
      <name val="Garamond"/>
      <family val="1"/>
    </font>
    <font>
      <b/>
      <i/>
      <sz val="11"/>
      <color indexed="8"/>
      <name val="Garamond"/>
      <family val="1"/>
    </font>
    <font>
      <b/>
      <i/>
      <sz val="10"/>
      <name val="Garamond"/>
      <family val="1"/>
    </font>
    <font>
      <sz val="14"/>
      <name val="Garamond"/>
      <family val="1"/>
    </font>
    <font>
      <sz val="14"/>
      <color indexed="10"/>
      <name val="Garamond"/>
      <family val="1"/>
    </font>
    <font>
      <b/>
      <sz val="10"/>
      <name val="Garamond"/>
      <family val="1"/>
    </font>
    <font>
      <b/>
      <sz val="16"/>
      <name val="Garamond"/>
      <family val="1"/>
    </font>
    <font>
      <b/>
      <sz val="11"/>
      <color indexed="8"/>
      <name val="Garamond"/>
      <family val="1"/>
    </font>
    <font>
      <sz val="11"/>
      <color indexed="10"/>
      <name val="Garamond"/>
      <family val="1"/>
    </font>
    <font>
      <i/>
      <sz val="11"/>
      <name val="Garamond"/>
      <family val="1"/>
    </font>
    <font>
      <b/>
      <sz val="14"/>
      <name val="Garamond"/>
      <family val="1"/>
    </font>
    <font>
      <i/>
      <sz val="24"/>
      <name val="Garamond"/>
      <family val="1"/>
    </font>
    <font>
      <b/>
      <sz val="11"/>
      <color indexed="12"/>
      <name val="Garamond"/>
      <family val="1"/>
    </font>
    <font>
      <b/>
      <sz val="11"/>
      <color indexed="10"/>
      <name val="Garamond"/>
      <family val="1"/>
    </font>
    <font>
      <b/>
      <i/>
      <u val="single"/>
      <sz val="20"/>
      <name val="Garamond"/>
      <family val="1"/>
    </font>
    <font>
      <i/>
      <sz val="23"/>
      <name val="Garamond"/>
      <family val="1"/>
    </font>
    <font>
      <b/>
      <u val="single"/>
      <sz val="10"/>
      <color indexed="10"/>
      <name val="Tahoma"/>
      <family val="2"/>
    </font>
    <font>
      <sz val="10"/>
      <name val="TmsCyr"/>
      <family val="0"/>
    </font>
    <font>
      <sz val="1"/>
      <name val="Arial"/>
      <family val="2"/>
    </font>
    <font>
      <u val="single"/>
      <sz val="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Garamond"/>
      <family val="1"/>
    </font>
    <font>
      <sz val="10"/>
      <color indexed="12"/>
      <name val="Garamond"/>
      <family val="1"/>
    </font>
    <font>
      <sz val="10"/>
      <color indexed="9"/>
      <name val="Garamond"/>
      <family val="1"/>
    </font>
    <font>
      <sz val="11"/>
      <color indexed="9"/>
      <name val="Garamond"/>
      <family val="1"/>
    </font>
    <font>
      <b/>
      <i/>
      <sz val="10"/>
      <color indexed="12"/>
      <name val="Garamond"/>
      <family val="1"/>
    </font>
    <font>
      <sz val="9"/>
      <color indexed="9"/>
      <name val="Arial"/>
      <family val="2"/>
    </font>
    <font>
      <sz val="9"/>
      <color indexed="9"/>
      <name val="Garamond"/>
      <family val="1"/>
    </font>
    <font>
      <sz val="1"/>
      <color indexed="55"/>
      <name val="Arial"/>
      <family val="2"/>
    </font>
    <font>
      <sz val="10"/>
      <color indexed="10"/>
      <name val="Garamond"/>
      <family val="1"/>
    </font>
    <font>
      <sz val="10"/>
      <color indexed="10"/>
      <name val="Arial"/>
      <family val="2"/>
    </font>
    <font>
      <b/>
      <i/>
      <sz val="10"/>
      <color indexed="10"/>
      <name val="Garamond"/>
      <family val="1"/>
    </font>
    <font>
      <b/>
      <sz val="11"/>
      <color indexed="9"/>
      <name val="Garamond"/>
      <family val="1"/>
    </font>
    <font>
      <b/>
      <sz val="9"/>
      <color indexed="10"/>
      <name val="Garamond"/>
      <family val="1"/>
    </font>
    <font>
      <b/>
      <sz val="9"/>
      <color indexed="12"/>
      <name val="Garamond"/>
      <family val="1"/>
    </font>
    <font>
      <sz val="8"/>
      <color indexed="9"/>
      <name val="Garamond"/>
      <family val="1"/>
    </font>
    <font>
      <b/>
      <i/>
      <sz val="11"/>
      <color indexed="9"/>
      <name val="Garamond"/>
      <family val="1"/>
    </font>
    <font>
      <sz val="10"/>
      <color indexed="55"/>
      <name val="Garamond"/>
      <family val="1"/>
    </font>
    <font>
      <sz val="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215"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215" fontId="0" fillId="0" borderId="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36">
    <xf numFmtId="0" fontId="0" fillId="0" borderId="0" xfId="0" applyAlignment="1">
      <alignment/>
    </xf>
    <xf numFmtId="0" fontId="11" fillId="21" borderId="0" xfId="97" applyNumberFormat="1" applyFont="1" applyFill="1" applyBorder="1" applyAlignment="1" applyProtection="1">
      <alignment vertical="top"/>
      <protection locked="0"/>
    </xf>
    <xf numFmtId="0" fontId="19" fillId="0" borderId="0" xfId="97" applyNumberFormat="1" applyFont="1" applyFill="1" applyBorder="1" applyAlignment="1" applyProtection="1">
      <alignment horizontal="right" vertical="top"/>
      <protection locked="0"/>
    </xf>
    <xf numFmtId="0" fontId="22" fillId="0" borderId="0" xfId="97" applyNumberFormat="1" applyFont="1" applyFill="1" applyBorder="1" applyAlignment="1" applyProtection="1">
      <alignment vertical="center"/>
      <protection/>
    </xf>
    <xf numFmtId="0" fontId="12" fillId="24" borderId="0" xfId="97" applyNumberFormat="1" applyFont="1" applyFill="1" applyBorder="1" applyAlignment="1" applyProtection="1">
      <alignment vertical="center"/>
      <protection/>
    </xf>
    <xf numFmtId="0" fontId="11" fillId="24" borderId="0" xfId="97" applyNumberFormat="1" applyFont="1" applyFill="1" applyBorder="1" applyAlignment="1" applyProtection="1">
      <alignment vertical="center"/>
      <protection/>
    </xf>
    <xf numFmtId="0" fontId="11" fillId="24" borderId="0" xfId="97" applyNumberFormat="1" applyFont="1" applyFill="1" applyBorder="1" applyAlignment="1" applyProtection="1">
      <alignment vertical="top"/>
      <protection/>
    </xf>
    <xf numFmtId="193" fontId="30" fillId="24" borderId="0" xfId="42" applyNumberFormat="1" applyFont="1" applyFill="1" applyBorder="1" applyAlignment="1" applyProtection="1">
      <alignment horizontal="left" vertical="center"/>
      <protection/>
    </xf>
    <xf numFmtId="193" fontId="30" fillId="24" borderId="0" xfId="42" applyNumberFormat="1" applyFont="1" applyFill="1" applyBorder="1" applyAlignment="1" applyProtection="1">
      <alignment horizontal="right" vertical="center"/>
      <protection/>
    </xf>
    <xf numFmtId="193" fontId="30" fillId="24" borderId="0" xfId="42" applyNumberFormat="1" applyFont="1" applyFill="1" applyBorder="1" applyAlignment="1" applyProtection="1">
      <alignment vertical="center"/>
      <protection/>
    </xf>
    <xf numFmtId="193" fontId="29" fillId="24" borderId="0" xfId="42" applyNumberFormat="1" applyFont="1" applyFill="1" applyBorder="1" applyAlignment="1" applyProtection="1">
      <alignment horizontal="right" vertical="center"/>
      <protection/>
    </xf>
    <xf numFmtId="0" fontId="54" fillId="24" borderId="0" xfId="97" applyNumberFormat="1" applyFont="1" applyFill="1" applyBorder="1" applyAlignment="1" applyProtection="1">
      <alignment vertical="center"/>
      <protection/>
    </xf>
    <xf numFmtId="193" fontId="29" fillId="24" borderId="0" xfId="42" applyNumberFormat="1" applyFont="1" applyFill="1" applyBorder="1" applyAlignment="1" applyProtection="1">
      <alignment vertical="center"/>
      <protection/>
    </xf>
    <xf numFmtId="0" fontId="11" fillId="21" borderId="0" xfId="0" applyFont="1" applyFill="1" applyBorder="1" applyAlignment="1" applyProtection="1">
      <alignment/>
      <protection locked="0"/>
    </xf>
    <xf numFmtId="0" fontId="11" fillId="21" borderId="0" xfId="0" applyFont="1" applyFill="1" applyBorder="1" applyAlignment="1" applyProtection="1">
      <alignment horizontal="left" vertical="center"/>
      <protection locked="0"/>
    </xf>
    <xf numFmtId="202" fontId="10" fillId="0" borderId="0" xfId="0" applyNumberFormat="1" applyFont="1" applyFill="1" applyBorder="1" applyAlignment="1" applyProtection="1">
      <alignment horizontal="right" vertical="center" wrapText="1"/>
      <protection locked="0"/>
    </xf>
    <xf numFmtId="0" fontId="11" fillId="21" borderId="0" xfId="0" applyFont="1" applyFill="1" applyBorder="1" applyAlignment="1" applyProtection="1">
      <alignment vertical="center"/>
      <protection locked="0"/>
    </xf>
    <xf numFmtId="193" fontId="11" fillId="0" borderId="10" xfId="0" applyNumberFormat="1" applyFont="1" applyFill="1" applyBorder="1" applyAlignment="1" applyProtection="1">
      <alignment/>
      <protection locked="0"/>
    </xf>
    <xf numFmtId="193" fontId="11" fillId="0" borderId="0" xfId="0" applyNumberFormat="1" applyFont="1" applyBorder="1" applyAlignment="1" applyProtection="1">
      <alignment/>
      <protection locked="0"/>
    </xf>
    <xf numFmtId="3" fontId="11" fillId="0" borderId="0" xfId="0" applyNumberFormat="1" applyFont="1" applyFill="1" applyBorder="1" applyAlignment="1" applyProtection="1">
      <alignment/>
      <protection locked="0"/>
    </xf>
    <xf numFmtId="3" fontId="11" fillId="0" borderId="0" xfId="0" applyNumberFormat="1" applyFont="1" applyBorder="1" applyAlignment="1" applyProtection="1">
      <alignment/>
      <protection locked="0"/>
    </xf>
    <xf numFmtId="193" fontId="11" fillId="0" borderId="0" xfId="0" applyNumberFormat="1" applyFont="1" applyFill="1" applyBorder="1" applyAlignment="1" applyProtection="1">
      <alignment/>
      <protection locked="0"/>
    </xf>
    <xf numFmtId="193" fontId="11" fillId="0" borderId="0" xfId="98" applyNumberFormat="1" applyFont="1" applyFill="1" applyBorder="1" applyAlignment="1" applyProtection="1">
      <alignment vertical="center"/>
      <protection locked="0"/>
    </xf>
    <xf numFmtId="177" fontId="11" fillId="0" borderId="0" xfId="98" applyNumberFormat="1" applyFont="1" applyFill="1" applyBorder="1" applyAlignment="1" applyProtection="1">
      <alignment vertical="center"/>
      <protection locked="0"/>
    </xf>
    <xf numFmtId="193" fontId="11" fillId="0" borderId="0" xfId="0" applyNumberFormat="1" applyFont="1" applyFill="1" applyBorder="1" applyAlignment="1" applyProtection="1">
      <alignment/>
      <protection locked="0"/>
    </xf>
    <xf numFmtId="193" fontId="10" fillId="0" borderId="10" xfId="0" applyNumberFormat="1" applyFont="1" applyFill="1" applyBorder="1" applyAlignment="1" applyProtection="1">
      <alignment/>
      <protection locked="0"/>
    </xf>
    <xf numFmtId="177" fontId="10" fillId="0" borderId="10" xfId="98" applyNumberFormat="1" applyFont="1" applyFill="1" applyBorder="1" applyAlignment="1" applyProtection="1">
      <alignment vertical="center"/>
      <protection locked="0"/>
    </xf>
    <xf numFmtId="193" fontId="12" fillId="0" borderId="0" xfId="0" applyNumberFormat="1" applyFont="1" applyBorder="1" applyAlignment="1" applyProtection="1">
      <alignment/>
      <protection locked="0"/>
    </xf>
    <xf numFmtId="177" fontId="11" fillId="0" borderId="10" xfId="98" applyNumberFormat="1" applyFont="1" applyFill="1" applyBorder="1" applyAlignment="1" applyProtection="1">
      <alignment vertical="center"/>
      <protection locked="0"/>
    </xf>
    <xf numFmtId="193" fontId="11" fillId="0" borderId="0" xfId="0" applyNumberFormat="1" applyFont="1" applyBorder="1" applyAlignment="1" applyProtection="1">
      <alignment/>
      <protection locked="0"/>
    </xf>
    <xf numFmtId="0" fontId="18" fillId="21" borderId="0" xfId="95" applyFont="1" applyFill="1" applyBorder="1" applyAlignment="1" applyProtection="1">
      <alignment vertical="center"/>
      <protection locked="0"/>
    </xf>
    <xf numFmtId="0" fontId="16" fillId="21" borderId="0" xfId="0" applyFont="1" applyFill="1" applyBorder="1" applyAlignment="1" applyProtection="1">
      <alignment/>
      <protection locked="0"/>
    </xf>
    <xf numFmtId="0" fontId="11" fillId="21" borderId="0" xfId="0" applyFont="1" applyFill="1" applyBorder="1" applyAlignment="1" applyProtection="1">
      <alignment horizontal="center" wrapText="1"/>
      <protection locked="0"/>
    </xf>
    <xf numFmtId="0" fontId="11" fillId="21" borderId="0" xfId="0" applyFont="1" applyFill="1" applyBorder="1" applyAlignment="1" applyProtection="1">
      <alignment horizontal="center"/>
      <protection locked="0"/>
    </xf>
    <xf numFmtId="0" fontId="10" fillId="21" borderId="0" xfId="95" applyFont="1" applyFill="1" applyBorder="1" applyAlignment="1" applyProtection="1">
      <alignment vertical="center"/>
      <protection locked="0"/>
    </xf>
    <xf numFmtId="0" fontId="10" fillId="21" borderId="0" xfId="96" applyFont="1" applyFill="1" applyAlignment="1" applyProtection="1">
      <alignment horizontal="right"/>
      <protection locked="0"/>
    </xf>
    <xf numFmtId="0" fontId="10" fillId="21" borderId="0" xfId="95" applyFont="1" applyFill="1" applyBorder="1" applyAlignment="1" applyProtection="1">
      <alignment horizontal="right" vertical="center"/>
      <protection locked="0"/>
    </xf>
    <xf numFmtId="0" fontId="10" fillId="21" borderId="0" xfId="0" applyFont="1" applyFill="1" applyBorder="1" applyAlignment="1" applyProtection="1">
      <alignment/>
      <protection locked="0"/>
    </xf>
    <xf numFmtId="0" fontId="10" fillId="21" borderId="0" xfId="0" applyFont="1" applyFill="1" applyBorder="1" applyAlignment="1" applyProtection="1">
      <alignment horizontal="right"/>
      <protection locked="0"/>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1" fillId="0" borderId="0" xfId="0" applyFont="1" applyBorder="1" applyAlignment="1" applyProtection="1">
      <alignment vertical="center"/>
      <protection/>
    </xf>
    <xf numFmtId="0" fontId="14" fillId="0" borderId="0" xfId="0" applyFont="1" applyBorder="1" applyAlignment="1" applyProtection="1">
      <alignment horizontal="center" vertical="center" wrapText="1"/>
      <protection/>
    </xf>
    <xf numFmtId="202" fontId="10" fillId="0" borderId="0" xfId="0" applyNumberFormat="1" applyFont="1" applyFill="1" applyBorder="1" applyAlignment="1" applyProtection="1">
      <alignment horizontal="right" vertical="center" wrapText="1"/>
      <protection/>
    </xf>
    <xf numFmtId="0" fontId="10" fillId="0" borderId="0" xfId="0" applyFont="1" applyBorder="1" applyAlignment="1" applyProtection="1">
      <alignment horizontal="center" vertical="center" wrapText="1"/>
      <protection/>
    </xf>
    <xf numFmtId="0" fontId="10" fillId="0" borderId="0" xfId="0" applyFont="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11"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center" wrapText="1"/>
      <protection/>
    </xf>
    <xf numFmtId="0" fontId="11" fillId="0" borderId="0" xfId="0" applyFont="1" applyBorder="1" applyAlignment="1" applyProtection="1">
      <alignment horizontal="center"/>
      <protection/>
    </xf>
    <xf numFmtId="0" fontId="11" fillId="0" borderId="0" xfId="0" applyFont="1" applyFill="1" applyBorder="1" applyAlignment="1" applyProtection="1">
      <alignment/>
      <protection/>
    </xf>
    <xf numFmtId="0" fontId="11" fillId="0" borderId="0" xfId="0" applyFont="1" applyBorder="1" applyAlignment="1" applyProtection="1">
      <alignment/>
      <protection/>
    </xf>
    <xf numFmtId="0" fontId="11" fillId="0" borderId="10"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12" fillId="0" borderId="0" xfId="0" applyFont="1" applyBorder="1" applyAlignment="1" applyProtection="1">
      <alignment horizontal="center"/>
      <protection/>
    </xf>
    <xf numFmtId="193" fontId="11" fillId="0" borderId="0" xfId="0" applyNumberFormat="1" applyFont="1" applyBorder="1" applyAlignment="1" applyProtection="1">
      <alignment/>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wrapText="1"/>
      <protection/>
    </xf>
    <xf numFmtId="3" fontId="11" fillId="0" borderId="0" xfId="0" applyNumberFormat="1" applyFont="1" applyFill="1" applyBorder="1" applyAlignment="1" applyProtection="1">
      <alignment/>
      <protection/>
    </xf>
    <xf numFmtId="3" fontId="11" fillId="0" borderId="0" xfId="0" applyNumberFormat="1" applyFont="1" applyBorder="1" applyAlignment="1" applyProtection="1">
      <alignment/>
      <protection/>
    </xf>
    <xf numFmtId="193" fontId="11" fillId="0" borderId="0" xfId="0" applyNumberFormat="1" applyFont="1" applyFill="1" applyBorder="1" applyAlignment="1" applyProtection="1">
      <alignment/>
      <protection/>
    </xf>
    <xf numFmtId="193" fontId="10" fillId="0" borderId="0" xfId="0" applyNumberFormat="1" applyFont="1" applyFill="1" applyBorder="1" applyAlignment="1" applyProtection="1">
      <alignment/>
      <protection/>
    </xf>
    <xf numFmtId="0" fontId="10" fillId="22" borderId="10" xfId="0" applyFont="1" applyFill="1" applyBorder="1" applyAlignment="1" applyProtection="1">
      <alignment horizontal="left" vertical="center"/>
      <protection/>
    </xf>
    <xf numFmtId="0" fontId="15" fillId="0" borderId="0" xfId="0" applyFont="1" applyBorder="1" applyAlignment="1" applyProtection="1">
      <alignment horizontal="left" vertical="center"/>
      <protection/>
    </xf>
    <xf numFmtId="193" fontId="11" fillId="22" borderId="10" xfId="0" applyNumberFormat="1" applyFont="1" applyFill="1" applyBorder="1" applyAlignment="1" applyProtection="1">
      <alignment/>
      <protection/>
    </xf>
    <xf numFmtId="193" fontId="10" fillId="22" borderId="10" xfId="0" applyNumberFormat="1" applyFont="1" applyFill="1" applyBorder="1" applyAlignment="1" applyProtection="1">
      <alignment/>
      <protection/>
    </xf>
    <xf numFmtId="193" fontId="10" fillId="0" borderId="0" xfId="98" applyNumberFormat="1" applyFont="1" applyFill="1" applyBorder="1" applyAlignment="1" applyProtection="1">
      <alignment vertical="center"/>
      <protection/>
    </xf>
    <xf numFmtId="0" fontId="16" fillId="0" borderId="0" xfId="0" applyFont="1" applyBorder="1" applyAlignment="1" applyProtection="1">
      <alignment horizontal="left" vertical="center"/>
      <protection/>
    </xf>
    <xf numFmtId="193" fontId="10" fillId="0" borderId="0" xfId="0" applyNumberFormat="1" applyFont="1" applyBorder="1" applyAlignment="1" applyProtection="1">
      <alignment/>
      <protection/>
    </xf>
    <xf numFmtId="193" fontId="10" fillId="22" borderId="11" xfId="98" applyNumberFormat="1" applyFont="1" applyFill="1" applyBorder="1" applyAlignment="1" applyProtection="1">
      <alignment horizontal="left" vertical="center"/>
      <protection/>
    </xf>
    <xf numFmtId="193" fontId="10" fillId="22" borderId="11" xfId="98"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protection/>
    </xf>
    <xf numFmtId="177" fontId="10" fillId="0" borderId="0" xfId="98" applyNumberFormat="1" applyFont="1" applyFill="1" applyBorder="1" applyAlignment="1" applyProtection="1">
      <alignment vertical="center"/>
      <protection/>
    </xf>
    <xf numFmtId="0" fontId="10" fillId="0" borderId="10" xfId="0" applyFont="1" applyBorder="1" applyAlignment="1" applyProtection="1">
      <alignment horizontal="left" vertical="center"/>
      <protection/>
    </xf>
    <xf numFmtId="193" fontId="10" fillId="0" borderId="10" xfId="98" applyNumberFormat="1" applyFont="1" applyFill="1" applyBorder="1" applyAlignment="1" applyProtection="1">
      <alignment vertical="center"/>
      <protection/>
    </xf>
    <xf numFmtId="0" fontId="11" fillId="0" borderId="0" xfId="0" applyFont="1" applyBorder="1" applyAlignment="1" applyProtection="1">
      <alignment horizontal="left" vertical="center" wrapText="1"/>
      <protection/>
    </xf>
    <xf numFmtId="14" fontId="10" fillId="0" borderId="0" xfId="0" applyNumberFormat="1" applyFont="1" applyBorder="1" applyAlignment="1" applyProtection="1">
      <alignment horizontal="center" wrapText="1"/>
      <protection/>
    </xf>
    <xf numFmtId="193" fontId="11" fillId="0" borderId="0" xfId="0" applyNumberFormat="1" applyFont="1" applyFill="1" applyBorder="1" applyAlignment="1" applyProtection="1">
      <alignment/>
      <protection/>
    </xf>
    <xf numFmtId="0" fontId="11" fillId="0" borderId="0" xfId="0" applyFont="1" applyBorder="1" applyAlignment="1" applyProtection="1" quotePrefix="1">
      <alignment horizontal="left" vertical="center"/>
      <protection/>
    </xf>
    <xf numFmtId="193" fontId="10" fillId="22" borderId="10" xfId="98" applyNumberFormat="1" applyFont="1" applyFill="1" applyBorder="1" applyAlignment="1" applyProtection="1">
      <alignment vertical="center"/>
      <protection/>
    </xf>
    <xf numFmtId="177" fontId="11" fillId="0" borderId="0" xfId="98" applyNumberFormat="1" applyFont="1" applyFill="1" applyBorder="1" applyAlignment="1" applyProtection="1">
      <alignment horizontal="center" vertical="center"/>
      <protection/>
    </xf>
    <xf numFmtId="193" fontId="11" fillId="0" borderId="0" xfId="0" applyNumberFormat="1" applyFont="1" applyBorder="1" applyAlignment="1" applyProtection="1">
      <alignment/>
      <protection/>
    </xf>
    <xf numFmtId="193" fontId="10" fillId="0" borderId="0" xfId="0" applyNumberFormat="1" applyFont="1" applyFill="1" applyBorder="1" applyAlignment="1" applyProtection="1">
      <alignment/>
      <protection/>
    </xf>
    <xf numFmtId="193" fontId="10" fillId="0" borderId="0" xfId="0" applyNumberFormat="1" applyFont="1" applyBorder="1" applyAlignment="1" applyProtection="1">
      <alignment/>
      <protection/>
    </xf>
    <xf numFmtId="193" fontId="11" fillId="0" borderId="10" xfId="0" applyNumberFormat="1" applyFont="1" applyFill="1" applyBorder="1" applyAlignment="1" applyProtection="1">
      <alignment/>
      <protection/>
    </xf>
    <xf numFmtId="0" fontId="11" fillId="24" borderId="0" xfId="0" applyFont="1" applyFill="1" applyBorder="1" applyAlignment="1" applyProtection="1">
      <alignment horizontal="center"/>
      <protection/>
    </xf>
    <xf numFmtId="0" fontId="54" fillId="24" borderId="0" xfId="0" applyFont="1" applyFill="1" applyBorder="1" applyAlignment="1" applyProtection="1">
      <alignment/>
      <protection/>
    </xf>
    <xf numFmtId="3" fontId="29" fillId="24" borderId="0" xfId="0" applyNumberFormat="1" applyFont="1" applyFill="1" applyBorder="1" applyAlignment="1" applyProtection="1">
      <alignment/>
      <protection/>
    </xf>
    <xf numFmtId="0" fontId="24" fillId="24" borderId="0" xfId="95" applyFont="1" applyFill="1" applyBorder="1" applyAlignment="1" applyProtection="1">
      <alignment vertical="center"/>
      <protection/>
    </xf>
    <xf numFmtId="0" fontId="18" fillId="24" borderId="0" xfId="0" applyFont="1" applyFill="1" applyBorder="1" applyAlignment="1" applyProtection="1">
      <alignment/>
      <protection/>
    </xf>
    <xf numFmtId="0" fontId="11" fillId="24" borderId="0" xfId="0" applyFont="1" applyFill="1" applyBorder="1" applyAlignment="1" applyProtection="1">
      <alignment horizontal="center" wrapText="1"/>
      <protection/>
    </xf>
    <xf numFmtId="0" fontId="11" fillId="24" borderId="0" xfId="0" applyFont="1" applyFill="1" applyBorder="1" applyAlignment="1" applyProtection="1">
      <alignment/>
      <protection/>
    </xf>
    <xf numFmtId="0" fontId="10" fillId="24" borderId="0" xfId="0" applyFont="1" applyFill="1" applyBorder="1" applyAlignment="1" applyProtection="1">
      <alignment/>
      <protection/>
    </xf>
    <xf numFmtId="0" fontId="10" fillId="24" borderId="0" xfId="95" applyFont="1" applyFill="1" applyBorder="1" applyAlignment="1" applyProtection="1">
      <alignment vertical="center"/>
      <protection/>
    </xf>
    <xf numFmtId="0" fontId="12" fillId="24" borderId="0" xfId="0" applyFont="1" applyFill="1" applyBorder="1" applyAlignment="1" applyProtection="1">
      <alignment/>
      <protection/>
    </xf>
    <xf numFmtId="0" fontId="10" fillId="24" borderId="0" xfId="96" applyFont="1" applyFill="1" applyAlignment="1" applyProtection="1">
      <alignment horizontal="right"/>
      <protection/>
    </xf>
    <xf numFmtId="0" fontId="10" fillId="24" borderId="0" xfId="96" applyFont="1" applyFill="1" applyAlignment="1" applyProtection="1">
      <alignment/>
      <protection/>
    </xf>
    <xf numFmtId="0" fontId="10" fillId="24" borderId="0" xfId="95" applyFont="1" applyFill="1" applyBorder="1" applyAlignment="1" applyProtection="1">
      <alignment horizontal="right" vertical="center"/>
      <protection/>
    </xf>
    <xf numFmtId="0" fontId="20" fillId="24" borderId="0" xfId="0" applyFont="1" applyFill="1" applyBorder="1" applyAlignment="1" applyProtection="1">
      <alignment/>
      <protection/>
    </xf>
    <xf numFmtId="0" fontId="12" fillId="0" borderId="0" xfId="0" applyFont="1" applyBorder="1" applyAlignment="1" applyProtection="1">
      <alignment horizontal="center"/>
      <protection hidden="1"/>
    </xf>
    <xf numFmtId="0" fontId="11" fillId="0" borderId="10" xfId="0" applyFont="1" applyBorder="1" applyAlignment="1" applyProtection="1">
      <alignment horizontal="center" wrapText="1"/>
      <protection hidden="1"/>
    </xf>
    <xf numFmtId="0" fontId="56" fillId="0" borderId="0" xfId="0" applyFont="1" applyBorder="1" applyAlignment="1" applyProtection="1">
      <alignment horizontal="center"/>
      <protection hidden="1"/>
    </xf>
    <xf numFmtId="0" fontId="56" fillId="0" borderId="0" xfId="0" applyFont="1" applyBorder="1" applyAlignment="1" applyProtection="1">
      <alignment horizontal="center"/>
      <protection/>
    </xf>
    <xf numFmtId="0" fontId="57" fillId="0" borderId="0" xfId="0" applyFont="1" applyBorder="1" applyAlignment="1" applyProtection="1">
      <alignment horizontal="center"/>
      <protection/>
    </xf>
    <xf numFmtId="0" fontId="56" fillId="0" borderId="0" xfId="0" applyFont="1" applyBorder="1" applyAlignment="1" applyProtection="1">
      <alignment horizontal="center"/>
      <protection locked="0"/>
    </xf>
    <xf numFmtId="0" fontId="12" fillId="21" borderId="0" xfId="0" applyFont="1" applyFill="1" applyBorder="1" applyAlignment="1" applyProtection="1">
      <alignment/>
      <protection locked="0"/>
    </xf>
    <xf numFmtId="0" fontId="12" fillId="21" borderId="0" xfId="0" applyFont="1" applyFill="1" applyBorder="1" applyAlignment="1" applyProtection="1">
      <alignment horizontal="left" vertical="center"/>
      <protection locked="0"/>
    </xf>
    <xf numFmtId="0" fontId="10" fillId="0" borderId="0" xfId="0" applyFont="1" applyBorder="1" applyAlignment="1" applyProtection="1">
      <alignment horizontal="right" vertical="center"/>
      <protection locked="0"/>
    </xf>
    <xf numFmtId="177" fontId="10" fillId="22" borderId="10" xfId="0" applyNumberFormat="1" applyFont="1" applyFill="1" applyBorder="1" applyAlignment="1" applyProtection="1">
      <alignment horizontal="right"/>
      <protection locked="0"/>
    </xf>
    <xf numFmtId="37" fontId="11" fillId="0" borderId="0" xfId="0" applyNumberFormat="1" applyFont="1" applyBorder="1" applyAlignment="1" applyProtection="1">
      <alignment horizontal="right"/>
      <protection locked="0"/>
    </xf>
    <xf numFmtId="177" fontId="11" fillId="0" borderId="0" xfId="0" applyNumberFormat="1" applyFont="1" applyBorder="1" applyAlignment="1" applyProtection="1">
      <alignment horizontal="right"/>
      <protection locked="0"/>
    </xf>
    <xf numFmtId="193" fontId="10" fillId="0" borderId="0" xfId="0" applyNumberFormat="1" applyFont="1" applyBorder="1" applyAlignment="1" applyProtection="1">
      <alignment horizontal="right"/>
      <protection locked="0"/>
    </xf>
    <xf numFmtId="0" fontId="18" fillId="21" borderId="0" xfId="0" applyFont="1" applyFill="1" applyBorder="1" applyAlignment="1" applyProtection="1">
      <alignment horizontal="right"/>
      <protection locked="0"/>
    </xf>
    <xf numFmtId="0" fontId="12" fillId="21" borderId="0" xfId="0" applyFont="1" applyFill="1" applyBorder="1" applyAlignment="1" applyProtection="1">
      <alignment horizontal="center"/>
      <protection locked="0"/>
    </xf>
    <xf numFmtId="177" fontId="12" fillId="21" borderId="0" xfId="0" applyNumberFormat="1" applyFont="1" applyFill="1" applyBorder="1" applyAlignment="1" applyProtection="1">
      <alignment horizontal="right"/>
      <protection locked="0"/>
    </xf>
    <xf numFmtId="0" fontId="18" fillId="21" borderId="0" xfId="0" applyFont="1" applyFill="1" applyBorder="1" applyAlignment="1" applyProtection="1">
      <alignment/>
      <protection locked="0"/>
    </xf>
    <xf numFmtId="0" fontId="11" fillId="0" borderId="10" xfId="0" applyFont="1" applyBorder="1" applyAlignment="1" applyProtection="1">
      <alignment horizontal="center"/>
      <protection/>
    </xf>
    <xf numFmtId="0" fontId="13" fillId="0" borderId="0" xfId="0" applyFont="1" applyBorder="1" applyAlignment="1" applyProtection="1">
      <alignment horizontal="left" vertical="center"/>
      <protection/>
    </xf>
    <xf numFmtId="0" fontId="12" fillId="0" borderId="0" xfId="0" applyFont="1" applyBorder="1" applyAlignment="1" applyProtection="1">
      <alignment horizontal="left" wrapText="1"/>
      <protection/>
    </xf>
    <xf numFmtId="177" fontId="12" fillId="0" borderId="0" xfId="0" applyNumberFormat="1" applyFont="1" applyBorder="1" applyAlignment="1" applyProtection="1">
      <alignment horizontal="right"/>
      <protection/>
    </xf>
    <xf numFmtId="0" fontId="12" fillId="0" borderId="0" xfId="0" applyFont="1" applyBorder="1" applyAlignment="1" applyProtection="1">
      <alignment horizontal="left"/>
      <protection/>
    </xf>
    <xf numFmtId="0" fontId="12"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4" fillId="0" borderId="0" xfId="0" applyFont="1" applyBorder="1" applyAlignment="1" applyProtection="1">
      <alignment vertical="center"/>
      <protection/>
    </xf>
    <xf numFmtId="177" fontId="12" fillId="0" borderId="0" xfId="0" applyNumberFormat="1" applyFont="1" applyBorder="1" applyAlignment="1" applyProtection="1">
      <alignment horizontal="right"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6" fillId="0" borderId="10" xfId="0" applyFont="1" applyBorder="1" applyAlignment="1" applyProtection="1">
      <alignment horizontal="left" vertical="center"/>
      <protection/>
    </xf>
    <xf numFmtId="0" fontId="12" fillId="0" borderId="10" xfId="0" applyFont="1" applyBorder="1" applyAlignment="1" applyProtection="1">
      <alignment horizontal="center"/>
      <protection/>
    </xf>
    <xf numFmtId="177" fontId="10" fillId="22" borderId="10" xfId="0" applyNumberFormat="1" applyFont="1" applyFill="1" applyBorder="1" applyAlignment="1" applyProtection="1">
      <alignment horizontal="right"/>
      <protection/>
    </xf>
    <xf numFmtId="37" fontId="11" fillId="0" borderId="0" xfId="0" applyNumberFormat="1" applyFont="1" applyBorder="1" applyAlignment="1" applyProtection="1">
      <alignment horizontal="right"/>
      <protection/>
    </xf>
    <xf numFmtId="177" fontId="11" fillId="0" borderId="0" xfId="0" applyNumberFormat="1" applyFont="1" applyBorder="1" applyAlignment="1" applyProtection="1">
      <alignment horizontal="right"/>
      <protection/>
    </xf>
    <xf numFmtId="0" fontId="11" fillId="0" borderId="0" xfId="0" applyNumberFormat="1" applyFont="1" applyBorder="1" applyAlignment="1" applyProtection="1">
      <alignment horizontal="center"/>
      <protection/>
    </xf>
    <xf numFmtId="0" fontId="57" fillId="0" borderId="0" xfId="0" applyNumberFormat="1" applyFont="1" applyBorder="1" applyAlignment="1" applyProtection="1">
      <alignment horizontal="center"/>
      <protection/>
    </xf>
    <xf numFmtId="177" fontId="10" fillId="0" borderId="0" xfId="0" applyNumberFormat="1" applyFont="1" applyBorder="1" applyAlignment="1" applyProtection="1">
      <alignment horizontal="right"/>
      <protection/>
    </xf>
    <xf numFmtId="37" fontId="10" fillId="0" borderId="0" xfId="0" applyNumberFormat="1" applyFont="1" applyBorder="1" applyAlignment="1" applyProtection="1">
      <alignment horizontal="right"/>
      <protection/>
    </xf>
    <xf numFmtId="0" fontId="10" fillId="0" borderId="12" xfId="0" applyFont="1" applyBorder="1" applyAlignment="1" applyProtection="1">
      <alignment horizontal="left" vertical="center"/>
      <protection/>
    </xf>
    <xf numFmtId="0" fontId="11" fillId="0" borderId="12" xfId="0" applyFont="1" applyBorder="1" applyAlignment="1" applyProtection="1">
      <alignment horizontal="center"/>
      <protection/>
    </xf>
    <xf numFmtId="177" fontId="10" fillId="22" borderId="12" xfId="0" applyNumberFormat="1" applyFont="1" applyFill="1" applyBorder="1" applyAlignment="1" applyProtection="1">
      <alignment horizontal="right"/>
      <protection/>
    </xf>
    <xf numFmtId="179" fontId="10" fillId="0" borderId="0" xfId="0" applyNumberFormat="1" applyFont="1" applyBorder="1" applyAlignment="1" applyProtection="1">
      <alignment horizontal="right"/>
      <protection/>
    </xf>
    <xf numFmtId="0" fontId="57" fillId="0" borderId="0" xfId="0" applyFont="1" applyBorder="1" applyAlignment="1" applyProtection="1">
      <alignment horizontal="center" wrapText="1"/>
      <protection/>
    </xf>
    <xf numFmtId="177" fontId="10" fillId="24" borderId="0" xfId="0" applyNumberFormat="1" applyFont="1" applyFill="1" applyBorder="1" applyAlignment="1" applyProtection="1">
      <alignment horizontal="right"/>
      <protection/>
    </xf>
    <xf numFmtId="0" fontId="16" fillId="0" borderId="10" xfId="0" applyFont="1" applyBorder="1" applyAlignment="1" applyProtection="1">
      <alignment horizontal="left" vertical="center" wrapText="1"/>
      <protection/>
    </xf>
    <xf numFmtId="0" fontId="11" fillId="0" borderId="0" xfId="0" applyFont="1" applyAlignment="1" applyProtection="1">
      <alignment/>
      <protection/>
    </xf>
    <xf numFmtId="177" fontId="30" fillId="24" borderId="0" xfId="0" applyNumberFormat="1" applyFont="1" applyFill="1" applyBorder="1" applyAlignment="1" applyProtection="1">
      <alignment horizontal="right"/>
      <protection/>
    </xf>
    <xf numFmtId="0" fontId="10" fillId="24" borderId="0" xfId="0" applyFont="1" applyFill="1" applyBorder="1" applyAlignment="1" applyProtection="1">
      <alignment horizontal="center"/>
      <protection/>
    </xf>
    <xf numFmtId="0" fontId="29" fillId="24" borderId="0" xfId="0" applyFont="1" applyFill="1" applyBorder="1" applyAlignment="1" applyProtection="1">
      <alignment horizontal="right" vertical="center"/>
      <protection/>
    </xf>
    <xf numFmtId="177" fontId="29" fillId="24" borderId="0" xfId="0" applyNumberFormat="1" applyFont="1" applyFill="1" applyBorder="1" applyAlignment="1" applyProtection="1">
      <alignment horizontal="right"/>
      <protection/>
    </xf>
    <xf numFmtId="0" fontId="55" fillId="24" borderId="0" xfId="0" applyFont="1" applyFill="1" applyBorder="1" applyAlignment="1" applyProtection="1">
      <alignment/>
      <protection/>
    </xf>
    <xf numFmtId="0" fontId="18" fillId="24" borderId="0" xfId="95" applyFont="1" applyFill="1" applyBorder="1" applyAlignment="1" applyProtection="1">
      <alignment vertical="center"/>
      <protection/>
    </xf>
    <xf numFmtId="0" fontId="19" fillId="24" borderId="0" xfId="0" applyFont="1" applyFill="1" applyBorder="1" applyAlignment="1" applyProtection="1">
      <alignment/>
      <protection/>
    </xf>
    <xf numFmtId="0" fontId="16" fillId="24" borderId="0" xfId="0" applyFont="1" applyFill="1" applyBorder="1" applyAlignment="1" applyProtection="1">
      <alignment/>
      <protection/>
    </xf>
    <xf numFmtId="0" fontId="12" fillId="24" borderId="0" xfId="0" applyFont="1" applyFill="1" applyBorder="1" applyAlignment="1" applyProtection="1">
      <alignment horizontal="center"/>
      <protection/>
    </xf>
    <xf numFmtId="177" fontId="12" fillId="24" borderId="0" xfId="0" applyNumberFormat="1" applyFont="1" applyFill="1" applyBorder="1" applyAlignment="1" applyProtection="1">
      <alignment horizontal="right"/>
      <protection/>
    </xf>
    <xf numFmtId="0" fontId="21" fillId="24" borderId="0" xfId="0" applyFont="1" applyFill="1" applyBorder="1" applyAlignment="1" applyProtection="1">
      <alignment/>
      <protection/>
    </xf>
    <xf numFmtId="0" fontId="12" fillId="0" borderId="10" xfId="0" applyFont="1" applyBorder="1" applyAlignment="1" applyProtection="1">
      <alignment horizontal="center"/>
      <protection hidden="1"/>
    </xf>
    <xf numFmtId="0" fontId="12" fillId="20" borderId="0" xfId="0" applyFont="1" applyFill="1" applyAlignment="1" applyProtection="1">
      <alignment/>
      <protection locked="0"/>
    </xf>
    <xf numFmtId="0" fontId="12" fillId="20" borderId="0" xfId="0" applyFont="1" applyFill="1" applyAlignment="1" applyProtection="1">
      <alignment/>
      <protection/>
    </xf>
    <xf numFmtId="0" fontId="10" fillId="22" borderId="10" xfId="98" applyNumberFormat="1" applyFont="1" applyFill="1" applyBorder="1" applyAlignment="1" applyProtection="1">
      <alignment vertical="center"/>
      <protection/>
    </xf>
    <xf numFmtId="0" fontId="10" fillId="22" borderId="10" xfId="98" applyNumberFormat="1" applyFont="1" applyFill="1" applyBorder="1" applyAlignment="1" applyProtection="1">
      <alignment horizontal="left" vertical="center"/>
      <protection/>
    </xf>
    <xf numFmtId="0" fontId="0" fillId="21" borderId="0" xfId="0" applyFill="1" applyAlignment="1" applyProtection="1">
      <alignment/>
      <protection locked="0"/>
    </xf>
    <xf numFmtId="1" fontId="24" fillId="0" borderId="0" xfId="97" applyNumberFormat="1" applyFont="1" applyFill="1" applyBorder="1" applyAlignment="1" applyProtection="1">
      <alignment horizontal="right" vertical="center" wrapText="1"/>
      <protection locked="0"/>
    </xf>
    <xf numFmtId="0" fontId="11" fillId="0" borderId="0" xfId="96" applyFont="1" applyFill="1" applyBorder="1" applyAlignment="1" applyProtection="1">
      <alignment horizontal="center"/>
      <protection locked="0"/>
    </xf>
    <xf numFmtId="177" fontId="11" fillId="0" borderId="0" xfId="96" applyNumberFormat="1" applyFont="1" applyFill="1" applyBorder="1" applyAlignment="1" applyProtection="1">
      <alignment horizontal="right"/>
      <protection locked="0"/>
    </xf>
    <xf numFmtId="177" fontId="11" fillId="0" borderId="0" xfId="96" applyNumberFormat="1" applyFont="1" applyFill="1" applyBorder="1" applyProtection="1">
      <alignment/>
      <protection locked="0"/>
    </xf>
    <xf numFmtId="0" fontId="17" fillId="0" borderId="0" xfId="96" applyFont="1" applyFill="1" applyBorder="1" applyAlignment="1" applyProtection="1">
      <alignment vertical="top" wrapText="1"/>
      <protection locked="0"/>
    </xf>
    <xf numFmtId="0" fontId="10" fillId="0" borderId="0" xfId="96" applyFont="1" applyFill="1" applyBorder="1" applyAlignment="1" applyProtection="1">
      <alignment horizontal="center"/>
      <protection locked="0"/>
    </xf>
    <xf numFmtId="0" fontId="17" fillId="0" borderId="0" xfId="96" applyFont="1" applyFill="1" applyBorder="1" applyAlignment="1" applyProtection="1">
      <alignment vertical="top"/>
      <protection locked="0"/>
    </xf>
    <xf numFmtId="177" fontId="10" fillId="0" borderId="0" xfId="96" applyNumberFormat="1" applyFont="1" applyFill="1" applyBorder="1" applyAlignment="1" applyProtection="1">
      <alignment horizontal="right"/>
      <protection locked="0"/>
    </xf>
    <xf numFmtId="177" fontId="10" fillId="22" borderId="13" xfId="96" applyNumberFormat="1" applyFont="1" applyFill="1" applyBorder="1" applyAlignment="1" applyProtection="1">
      <alignment horizontal="right"/>
      <protection locked="0"/>
    </xf>
    <xf numFmtId="177" fontId="10" fillId="0" borderId="0" xfId="96" applyNumberFormat="1" applyFont="1" applyFill="1" applyBorder="1" applyAlignment="1" applyProtection="1">
      <alignment horizontal="center"/>
      <protection locked="0"/>
    </xf>
    <xf numFmtId="0" fontId="11" fillId="21" borderId="0" xfId="96" applyFont="1" applyFill="1" applyAlignment="1" applyProtection="1">
      <alignment horizontal="center"/>
      <protection locked="0"/>
    </xf>
    <xf numFmtId="177" fontId="11" fillId="21" borderId="0" xfId="96" applyNumberFormat="1" applyFont="1" applyFill="1" applyAlignment="1" applyProtection="1">
      <alignment horizontal="right"/>
      <protection locked="0"/>
    </xf>
    <xf numFmtId="0" fontId="11" fillId="21" borderId="0" xfId="96" applyFont="1" applyFill="1" applyBorder="1" applyAlignment="1" applyProtection="1">
      <alignment horizontal="center"/>
      <protection locked="0"/>
    </xf>
    <xf numFmtId="0" fontId="26" fillId="21" borderId="0" xfId="95" applyFont="1" applyFill="1" applyBorder="1" applyAlignment="1" applyProtection="1">
      <alignment vertical="center"/>
      <protection locked="0"/>
    </xf>
    <xf numFmtId="0" fontId="11" fillId="21" borderId="0" xfId="96" applyFont="1" applyFill="1" applyProtection="1">
      <alignment/>
      <protection locked="0"/>
    </xf>
    <xf numFmtId="0" fontId="11" fillId="0" borderId="0" xfId="99" applyFont="1" applyFill="1" applyBorder="1" applyAlignment="1" applyProtection="1" quotePrefix="1">
      <alignment horizontal="left" vertical="center"/>
      <protection/>
    </xf>
    <xf numFmtId="15" fontId="24" fillId="0" borderId="0" xfId="95" applyNumberFormat="1" applyFont="1" applyFill="1" applyBorder="1" applyAlignment="1" applyProtection="1">
      <alignment horizontal="center" vertical="center" wrapText="1"/>
      <protection/>
    </xf>
    <xf numFmtId="1" fontId="24" fillId="0" borderId="0" xfId="97" applyNumberFormat="1" applyFont="1" applyFill="1" applyBorder="1" applyAlignment="1" applyProtection="1">
      <alignment horizontal="right" vertical="center" wrapText="1"/>
      <protection/>
    </xf>
    <xf numFmtId="177" fontId="24" fillId="0" borderId="0" xfId="97" applyNumberFormat="1" applyFont="1" applyFill="1" applyBorder="1" applyAlignment="1" applyProtection="1">
      <alignment horizontal="right" vertical="center" wrapText="1"/>
      <protection/>
    </xf>
    <xf numFmtId="49" fontId="24" fillId="0" borderId="0" xfId="97" applyNumberFormat="1" applyFont="1" applyFill="1" applyBorder="1" applyAlignment="1" applyProtection="1">
      <alignment horizontal="right" vertical="center" wrapText="1"/>
      <protection/>
    </xf>
    <xf numFmtId="0" fontId="24" fillId="0" borderId="0" xfId="96" applyFont="1" applyFill="1" applyBorder="1" applyAlignment="1" applyProtection="1">
      <alignment vertical="top" wrapText="1"/>
      <protection/>
    </xf>
    <xf numFmtId="0" fontId="11" fillId="0" borderId="0" xfId="96" applyFont="1" applyFill="1" applyBorder="1" applyAlignment="1" applyProtection="1">
      <alignment horizontal="center"/>
      <protection/>
    </xf>
    <xf numFmtId="177" fontId="11" fillId="0" borderId="0" xfId="96" applyNumberFormat="1" applyFont="1" applyFill="1" applyBorder="1" applyAlignment="1" applyProtection="1">
      <alignment horizontal="right"/>
      <protection/>
    </xf>
    <xf numFmtId="177" fontId="11" fillId="0" borderId="0" xfId="96" applyNumberFormat="1" applyFont="1" applyFill="1" applyBorder="1" applyProtection="1">
      <alignment/>
      <protection/>
    </xf>
    <xf numFmtId="0" fontId="17" fillId="0" borderId="0" xfId="96" applyFont="1" applyFill="1" applyBorder="1" applyAlignment="1" applyProtection="1">
      <alignment vertical="top" wrapText="1"/>
      <protection/>
    </xf>
    <xf numFmtId="0" fontId="10" fillId="0" borderId="0" xfId="96" applyFont="1" applyFill="1" applyBorder="1" applyAlignment="1" applyProtection="1">
      <alignment horizontal="center"/>
      <protection/>
    </xf>
    <xf numFmtId="177" fontId="10" fillId="22" borderId="11" xfId="96" applyNumberFormat="1" applyFont="1" applyFill="1" applyBorder="1" applyAlignment="1" applyProtection="1">
      <alignment horizontal="left"/>
      <protection/>
    </xf>
    <xf numFmtId="177" fontId="10" fillId="22" borderId="11" xfId="96" applyNumberFormat="1" applyFont="1" applyFill="1" applyBorder="1" applyAlignment="1" applyProtection="1">
      <alignment horizontal="right"/>
      <protection/>
    </xf>
    <xf numFmtId="177" fontId="10" fillId="0" borderId="0" xfId="96" applyNumberFormat="1" applyFont="1" applyFill="1" applyBorder="1" applyProtection="1">
      <alignment/>
      <protection/>
    </xf>
    <xf numFmtId="177" fontId="10" fillId="0" borderId="0" xfId="96" applyNumberFormat="1" applyFont="1" applyFill="1" applyBorder="1" applyAlignment="1" applyProtection="1">
      <alignment horizontal="right"/>
      <protection/>
    </xf>
    <xf numFmtId="0" fontId="11" fillId="0" borderId="0" xfId="96" applyFont="1" applyFill="1" applyBorder="1" applyProtection="1">
      <alignment/>
      <protection/>
    </xf>
    <xf numFmtId="177" fontId="10" fillId="22" borderId="13" xfId="96" applyNumberFormat="1" applyFont="1" applyFill="1" applyBorder="1" applyAlignment="1" applyProtection="1">
      <alignment horizontal="left" vertical="justify"/>
      <protection/>
    </xf>
    <xf numFmtId="177" fontId="10" fillId="22" borderId="13" xfId="96" applyNumberFormat="1" applyFont="1" applyFill="1" applyBorder="1" applyAlignment="1" applyProtection="1">
      <alignment horizontal="right"/>
      <protection/>
    </xf>
    <xf numFmtId="177" fontId="10" fillId="0" borderId="0" xfId="96" applyNumberFormat="1" applyFont="1" applyFill="1" applyBorder="1" applyAlignment="1" applyProtection="1">
      <alignment horizontal="center"/>
      <protection/>
    </xf>
    <xf numFmtId="177" fontId="10" fillId="22" borderId="14" xfId="96" applyNumberFormat="1" applyFont="1" applyFill="1" applyBorder="1" applyAlignment="1" applyProtection="1">
      <alignment horizontal="left" vertical="justify"/>
      <protection/>
    </xf>
    <xf numFmtId="177" fontId="10" fillId="22" borderId="14" xfId="96" applyNumberFormat="1" applyFont="1" applyFill="1" applyBorder="1" applyAlignment="1" applyProtection="1">
      <alignment horizontal="right"/>
      <protection/>
    </xf>
    <xf numFmtId="0" fontId="30" fillId="24" borderId="0" xfId="96" applyFont="1" applyFill="1" applyBorder="1" applyAlignment="1" applyProtection="1">
      <alignment horizontal="right"/>
      <protection/>
    </xf>
    <xf numFmtId="0" fontId="11" fillId="24" borderId="0" xfId="96" applyFont="1" applyFill="1" applyBorder="1" applyAlignment="1" applyProtection="1">
      <alignment horizontal="center"/>
      <protection/>
    </xf>
    <xf numFmtId="177" fontId="30" fillId="24" borderId="0" xfId="96" applyNumberFormat="1" applyFont="1" applyFill="1" applyBorder="1" applyAlignment="1" applyProtection="1">
      <alignment horizontal="right"/>
      <protection/>
    </xf>
    <xf numFmtId="0" fontId="25" fillId="24" borderId="0" xfId="96" applyFont="1" applyFill="1" applyBorder="1" applyAlignment="1" applyProtection="1">
      <alignment horizontal="center"/>
      <protection/>
    </xf>
    <xf numFmtId="0" fontId="29" fillId="24" borderId="0" xfId="96" applyFont="1" applyFill="1" applyBorder="1" applyAlignment="1" applyProtection="1">
      <alignment horizontal="right"/>
      <protection/>
    </xf>
    <xf numFmtId="0" fontId="54" fillId="24" borderId="0" xfId="96" applyFont="1" applyFill="1" applyBorder="1" applyAlignment="1" applyProtection="1">
      <alignment horizontal="center"/>
      <protection/>
    </xf>
    <xf numFmtId="177" fontId="29" fillId="24" borderId="0" xfId="96" applyNumberFormat="1" applyFont="1" applyFill="1" applyBorder="1" applyAlignment="1" applyProtection="1">
      <alignment horizontal="right"/>
      <protection/>
    </xf>
    <xf numFmtId="177" fontId="25" fillId="24" borderId="0" xfId="96" applyNumberFormat="1" applyFont="1" applyFill="1" applyBorder="1" applyAlignment="1" applyProtection="1">
      <alignment horizontal="right"/>
      <protection/>
    </xf>
    <xf numFmtId="177" fontId="11" fillId="24" borderId="0" xfId="96" applyNumberFormat="1" applyFont="1" applyFill="1" applyBorder="1" applyAlignment="1" applyProtection="1">
      <alignment horizontal="right"/>
      <protection/>
    </xf>
    <xf numFmtId="0" fontId="11" fillId="24" borderId="0" xfId="96" applyFont="1" applyFill="1" applyAlignment="1" applyProtection="1">
      <alignment horizontal="center"/>
      <protection/>
    </xf>
    <xf numFmtId="177" fontId="11" fillId="24" borderId="0" xfId="96" applyNumberFormat="1" applyFont="1" applyFill="1" applyAlignment="1" applyProtection="1">
      <alignment horizontal="right"/>
      <protection/>
    </xf>
    <xf numFmtId="177" fontId="16" fillId="24" borderId="0" xfId="96" applyNumberFormat="1" applyFont="1" applyFill="1" applyAlignment="1" applyProtection="1">
      <alignment horizontal="center"/>
      <protection/>
    </xf>
    <xf numFmtId="0" fontId="56" fillId="0" borderId="0" xfId="0" applyFont="1" applyFill="1" applyBorder="1" applyAlignment="1" applyProtection="1">
      <alignment/>
      <protection hidden="1"/>
    </xf>
    <xf numFmtId="0" fontId="56" fillId="0" borderId="0" xfId="0" applyFont="1" applyFill="1" applyBorder="1" applyAlignment="1" applyProtection="1">
      <alignment vertical="center"/>
      <protection hidden="1"/>
    </xf>
    <xf numFmtId="177" fontId="10" fillId="22" borderId="12" xfId="0" applyNumberFormat="1" applyFont="1" applyFill="1" applyBorder="1" applyAlignment="1">
      <alignment horizontal="right"/>
    </xf>
    <xf numFmtId="0" fontId="12" fillId="21" borderId="0" xfId="0" applyFont="1" applyFill="1" applyBorder="1" applyAlignment="1" applyProtection="1">
      <alignment/>
      <protection locked="0"/>
    </xf>
    <xf numFmtId="0" fontId="12" fillId="0" borderId="0" xfId="97" applyNumberFormat="1" applyFont="1" applyFill="1" applyBorder="1" applyAlignment="1" applyProtection="1">
      <alignment/>
      <protection locked="0"/>
    </xf>
    <xf numFmtId="0" fontId="19" fillId="0" borderId="0" xfId="97" applyNumberFormat="1" applyFont="1" applyFill="1" applyBorder="1" applyAlignment="1" applyProtection="1">
      <alignment horizontal="center" vertical="center" wrapText="1"/>
      <protection locked="0"/>
    </xf>
    <xf numFmtId="0" fontId="12" fillId="0" borderId="0" xfId="0" applyFont="1" applyBorder="1" applyAlignment="1" applyProtection="1">
      <alignment/>
      <protection locked="0"/>
    </xf>
    <xf numFmtId="0" fontId="22" fillId="0" borderId="0" xfId="0" applyFont="1" applyFill="1" applyBorder="1" applyAlignment="1" applyProtection="1">
      <alignment horizontal="right"/>
      <protection locked="0"/>
    </xf>
    <xf numFmtId="0" fontId="22" fillId="0" borderId="0" xfId="97" applyNumberFormat="1" applyFont="1" applyFill="1" applyBorder="1" applyAlignment="1" applyProtection="1">
      <alignment vertical="center"/>
      <protection locked="0"/>
    </xf>
    <xf numFmtId="3" fontId="11" fillId="0" borderId="0" xfId="97" applyNumberFormat="1" applyFont="1" applyFill="1" applyBorder="1" applyAlignment="1" applyProtection="1">
      <alignment vertical="center"/>
      <protection locked="0"/>
    </xf>
    <xf numFmtId="0" fontId="11" fillId="0" borderId="0" xfId="97" applyNumberFormat="1" applyFont="1" applyFill="1" applyBorder="1" applyAlignment="1" applyProtection="1">
      <alignment vertical="center"/>
      <protection locked="0"/>
    </xf>
    <xf numFmtId="193" fontId="10" fillId="0" borderId="0" xfId="42" applyNumberFormat="1" applyFont="1" applyFill="1" applyBorder="1" applyAlignment="1" applyProtection="1">
      <alignment vertical="center"/>
      <protection locked="0"/>
    </xf>
    <xf numFmtId="193" fontId="10" fillId="0" borderId="10" xfId="42" applyNumberFormat="1" applyFont="1" applyFill="1" applyBorder="1" applyAlignment="1" applyProtection="1">
      <alignment vertical="center"/>
      <protection locked="0"/>
    </xf>
    <xf numFmtId="0" fontId="11" fillId="21" borderId="0" xfId="97" applyNumberFormat="1" applyFont="1" applyFill="1" applyBorder="1" applyAlignment="1" applyProtection="1">
      <alignment vertical="center"/>
      <protection locked="0"/>
    </xf>
    <xf numFmtId="193" fontId="10" fillId="22" borderId="14" xfId="42" applyNumberFormat="1" applyFont="1" applyFill="1" applyBorder="1" applyAlignment="1" applyProtection="1">
      <alignment horizontal="left" vertical="center"/>
      <protection locked="0"/>
    </xf>
    <xf numFmtId="193" fontId="10" fillId="0" borderId="0" xfId="42" applyNumberFormat="1" applyFont="1" applyFill="1" applyBorder="1" applyAlignment="1" applyProtection="1">
      <alignment horizontal="right" vertical="center"/>
      <protection locked="0"/>
    </xf>
    <xf numFmtId="193" fontId="10" fillId="22" borderId="14" xfId="42" applyNumberFormat="1" applyFont="1" applyFill="1" applyBorder="1" applyAlignment="1" applyProtection="1">
      <alignment vertical="center"/>
      <protection locked="0"/>
    </xf>
    <xf numFmtId="0" fontId="10" fillId="21" borderId="0" xfId="97" applyNumberFormat="1" applyFont="1" applyFill="1" applyBorder="1" applyAlignment="1" applyProtection="1">
      <alignment vertical="center"/>
      <protection locked="0"/>
    </xf>
    <xf numFmtId="193" fontId="10" fillId="0" borderId="0" xfId="42" applyNumberFormat="1" applyFont="1" applyFill="1" applyBorder="1" applyAlignment="1" applyProtection="1">
      <alignment horizontal="left" vertical="center"/>
      <protection locked="0"/>
    </xf>
    <xf numFmtId="0" fontId="12" fillId="0" borderId="13" xfId="97" applyNumberFormat="1" applyFont="1" applyFill="1" applyBorder="1" applyAlignment="1" applyProtection="1">
      <alignment vertical="center" wrapText="1"/>
      <protection locked="0"/>
    </xf>
    <xf numFmtId="0" fontId="12" fillId="0" borderId="0" xfId="97" applyNumberFormat="1" applyFont="1" applyFill="1" applyBorder="1" applyAlignment="1" applyProtection="1">
      <alignment vertical="center" wrapText="1"/>
      <protection locked="0"/>
    </xf>
    <xf numFmtId="193" fontId="10" fillId="22" borderId="13" xfId="42" applyNumberFormat="1" applyFont="1" applyFill="1" applyBorder="1" applyAlignment="1" applyProtection="1">
      <alignment horizontal="left" vertical="center"/>
      <protection locked="0"/>
    </xf>
    <xf numFmtId="0" fontId="19" fillId="0" borderId="0" xfId="0" applyFont="1" applyBorder="1" applyAlignment="1" applyProtection="1">
      <alignment vertical="top" wrapText="1"/>
      <protection locked="0"/>
    </xf>
    <xf numFmtId="193" fontId="11" fillId="0" borderId="0" xfId="42" applyNumberFormat="1" applyFont="1" applyFill="1" applyBorder="1" applyAlignment="1" applyProtection="1">
      <alignment vertical="center"/>
      <protection locked="0"/>
    </xf>
    <xf numFmtId="0" fontId="12" fillId="0" borderId="0" xfId="0" applyFont="1" applyBorder="1" applyAlignment="1" applyProtection="1">
      <alignment vertical="top" wrapText="1"/>
      <protection locked="0"/>
    </xf>
    <xf numFmtId="0" fontId="22" fillId="21" borderId="0" xfId="97" applyNumberFormat="1" applyFont="1" applyFill="1" applyBorder="1" applyAlignment="1" applyProtection="1">
      <alignment vertical="center"/>
      <protection locked="0"/>
    </xf>
    <xf numFmtId="0" fontId="12" fillId="21" borderId="0" xfId="97" applyNumberFormat="1" applyFont="1" applyFill="1" applyBorder="1" applyAlignment="1" applyProtection="1">
      <alignment vertical="center"/>
      <protection locked="0"/>
    </xf>
    <xf numFmtId="0" fontId="19" fillId="0" borderId="10" xfId="0" applyFont="1" applyBorder="1" applyAlignment="1" applyProtection="1">
      <alignment vertical="top" wrapText="1"/>
      <protection locked="0"/>
    </xf>
    <xf numFmtId="0" fontId="19" fillId="21" borderId="0" xfId="97" applyNumberFormat="1" applyFont="1" applyFill="1" applyBorder="1" applyAlignment="1" applyProtection="1">
      <alignment vertical="center"/>
      <protection locked="0"/>
    </xf>
    <xf numFmtId="0" fontId="16" fillId="21" borderId="0" xfId="97" applyNumberFormat="1" applyFont="1" applyFill="1" applyBorder="1" applyAlignment="1" applyProtection="1">
      <alignment vertical="center"/>
      <protection locked="0"/>
    </xf>
    <xf numFmtId="0" fontId="19" fillId="0" borderId="13" xfId="0" applyFont="1" applyBorder="1" applyAlignment="1" applyProtection="1">
      <alignment vertical="top" wrapText="1"/>
      <protection locked="0"/>
    </xf>
    <xf numFmtId="0" fontId="19" fillId="0" borderId="0" xfId="0" applyFont="1" applyFill="1" applyBorder="1" applyAlignment="1" applyProtection="1">
      <alignment vertical="top" wrapText="1"/>
      <protection locked="0"/>
    </xf>
    <xf numFmtId="0" fontId="12" fillId="21" borderId="0" xfId="97" applyNumberFormat="1" applyFont="1" applyFill="1" applyBorder="1" applyAlignment="1" applyProtection="1">
      <alignment vertical="top"/>
      <protection locked="0"/>
    </xf>
    <xf numFmtId="0" fontId="58" fillId="24" borderId="0" xfId="95" applyFont="1" applyFill="1" applyBorder="1" applyAlignment="1" applyProtection="1">
      <alignment vertical="center"/>
      <protection/>
    </xf>
    <xf numFmtId="0" fontId="22" fillId="24" borderId="0" xfId="95" applyFont="1" applyFill="1" applyBorder="1" applyAlignment="1" applyProtection="1">
      <alignment vertical="center"/>
      <protection/>
    </xf>
    <xf numFmtId="0" fontId="22" fillId="24" borderId="0" xfId="96" applyFont="1" applyFill="1" applyAlignment="1" applyProtection="1">
      <alignment horizontal="right"/>
      <protection/>
    </xf>
    <xf numFmtId="0" fontId="22" fillId="24" borderId="0" xfId="96" applyFont="1" applyFill="1" applyAlignment="1" applyProtection="1">
      <alignment horizontal="left"/>
      <protection/>
    </xf>
    <xf numFmtId="0" fontId="0" fillId="21" borderId="0" xfId="0" applyFont="1" applyFill="1" applyAlignment="1" applyProtection="1">
      <alignment/>
      <protection locked="0"/>
    </xf>
    <xf numFmtId="0" fontId="59" fillId="0" borderId="0" xfId="0" applyFont="1" applyAlignment="1" applyProtection="1">
      <alignment/>
      <protection hidden="1"/>
    </xf>
    <xf numFmtId="0" fontId="60" fillId="0" borderId="0" xfId="0" applyFont="1" applyFill="1" applyBorder="1" applyAlignment="1" applyProtection="1">
      <alignment/>
      <protection hidden="1"/>
    </xf>
    <xf numFmtId="0" fontId="59" fillId="0" borderId="0" xfId="0" applyFont="1" applyFill="1" applyAlignment="1" applyProtection="1">
      <alignment/>
      <protection hidden="1"/>
    </xf>
    <xf numFmtId="0" fontId="10" fillId="0" borderId="0" xfId="95" applyFont="1" applyFill="1" applyBorder="1" applyAlignment="1" applyProtection="1">
      <alignment horizontal="center" vertical="center"/>
      <protection/>
    </xf>
    <xf numFmtId="0" fontId="10" fillId="0" borderId="0" xfId="95" applyFont="1" applyFill="1" applyBorder="1" applyAlignment="1" applyProtection="1">
      <alignment horizontal="center" vertical="center"/>
      <protection locked="0"/>
    </xf>
    <xf numFmtId="177" fontId="30" fillId="0" borderId="0" xfId="96" applyNumberFormat="1" applyFont="1" applyFill="1" applyBorder="1" applyAlignment="1" applyProtection="1">
      <alignment horizontal="right"/>
      <protection/>
    </xf>
    <xf numFmtId="0" fontId="16" fillId="0" borderId="0" xfId="96" applyFont="1" applyFill="1" applyBorder="1" applyAlignment="1" applyProtection="1">
      <alignment horizontal="center"/>
      <protection/>
    </xf>
    <xf numFmtId="177" fontId="29" fillId="0" borderId="0" xfId="96" applyNumberFormat="1" applyFont="1" applyFill="1" applyBorder="1" applyAlignment="1" applyProtection="1">
      <alignment horizontal="right"/>
      <protection/>
    </xf>
    <xf numFmtId="177" fontId="25" fillId="0" borderId="0" xfId="96" applyNumberFormat="1" applyFont="1" applyFill="1" applyBorder="1" applyAlignment="1" applyProtection="1">
      <alignment horizontal="right"/>
      <protection/>
    </xf>
    <xf numFmtId="0" fontId="12" fillId="25" borderId="0" xfId="0" applyFont="1" applyFill="1" applyAlignment="1" applyProtection="1">
      <alignment/>
      <protection locked="0"/>
    </xf>
    <xf numFmtId="0" fontId="12" fillId="20" borderId="0" xfId="0" applyFont="1" applyFill="1" applyAlignment="1" applyProtection="1">
      <alignment/>
      <protection locked="0"/>
    </xf>
    <xf numFmtId="0" fontId="28" fillId="20" borderId="0" xfId="0" applyFont="1" applyFill="1" applyAlignment="1" applyProtection="1">
      <alignment vertical="center" wrapText="1"/>
      <protection locked="0"/>
    </xf>
    <xf numFmtId="14" fontId="12" fillId="20" borderId="0" xfId="0" applyNumberFormat="1" applyFont="1" applyFill="1" applyAlignment="1" applyProtection="1">
      <alignment/>
      <protection/>
    </xf>
    <xf numFmtId="0" fontId="12" fillId="25" borderId="0" xfId="0" applyFont="1" applyFill="1" applyAlignment="1" applyProtection="1">
      <alignment/>
      <protection/>
    </xf>
    <xf numFmtId="0" fontId="29" fillId="24" borderId="0" xfId="0" applyFont="1" applyFill="1" applyAlignment="1" applyProtection="1">
      <alignment vertical="center" wrapText="1"/>
      <protection/>
    </xf>
    <xf numFmtId="193" fontId="10" fillId="0" borderId="0" xfId="42" applyNumberFormat="1" applyFont="1" applyFill="1" applyBorder="1" applyAlignment="1" applyProtection="1">
      <alignment horizontal="right" vertical="center"/>
      <protection/>
    </xf>
    <xf numFmtId="193" fontId="10" fillId="0" borderId="0" xfId="42" applyNumberFormat="1" applyFont="1" applyFill="1" applyBorder="1" applyAlignment="1" applyProtection="1">
      <alignment vertical="center"/>
      <protection/>
    </xf>
    <xf numFmtId="193" fontId="10" fillId="22" borderId="14" xfId="42" applyNumberFormat="1" applyFont="1" applyFill="1" applyBorder="1" applyAlignment="1" applyProtection="1">
      <alignment vertical="center"/>
      <protection/>
    </xf>
    <xf numFmtId="0" fontId="22" fillId="0" borderId="0" xfId="0" applyFont="1" applyBorder="1" applyAlignment="1" applyProtection="1">
      <alignment horizontal="right"/>
      <protection locked="0"/>
    </xf>
    <xf numFmtId="0" fontId="11" fillId="0" borderId="0" xfId="0" applyFont="1" applyFill="1" applyBorder="1" applyAlignment="1" applyProtection="1">
      <alignment horizontal="center"/>
      <protection locked="0"/>
    </xf>
    <xf numFmtId="177" fontId="12" fillId="0" borderId="0" xfId="0" applyNumberFormat="1" applyFont="1" applyFill="1" applyBorder="1" applyAlignment="1" applyProtection="1">
      <alignment horizontal="right"/>
      <protection/>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xf>
    <xf numFmtId="177" fontId="12" fillId="0" borderId="0" xfId="0" applyNumberFormat="1" applyFont="1" applyFill="1" applyBorder="1" applyAlignment="1" applyProtection="1">
      <alignment horizontal="right" vertical="center" wrapText="1"/>
      <protection/>
    </xf>
    <xf numFmtId="177" fontId="10" fillId="0" borderId="0" xfId="0" applyNumberFormat="1" applyFont="1" applyFill="1" applyBorder="1" applyAlignment="1" applyProtection="1">
      <alignment horizontal="right"/>
      <protection/>
    </xf>
    <xf numFmtId="177" fontId="11" fillId="0" borderId="0" xfId="0" applyNumberFormat="1" applyFont="1" applyFill="1" applyBorder="1" applyAlignment="1" applyProtection="1">
      <alignment horizontal="right"/>
      <protection locked="0"/>
    </xf>
    <xf numFmtId="177" fontId="11" fillId="0" borderId="0" xfId="0" applyNumberFormat="1" applyFont="1" applyFill="1" applyBorder="1" applyAlignment="1" applyProtection="1">
      <alignment horizontal="right"/>
      <protection/>
    </xf>
    <xf numFmtId="177" fontId="10"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center" wrapText="1"/>
      <protection/>
    </xf>
    <xf numFmtId="177" fontId="10" fillId="0" borderId="0" xfId="0" applyNumberFormat="1" applyFont="1" applyFill="1" applyBorder="1" applyAlignment="1">
      <alignment horizontal="right"/>
    </xf>
    <xf numFmtId="0" fontId="16" fillId="0" borderId="0" xfId="95" applyNumberFormat="1" applyFont="1" applyFill="1" applyBorder="1" applyAlignment="1" applyProtection="1">
      <alignment horizontal="center" vertical="center"/>
      <protection/>
    </xf>
    <xf numFmtId="0" fontId="12" fillId="0" borderId="0" xfId="0" applyFont="1" applyFill="1" applyBorder="1" applyAlignment="1" applyProtection="1">
      <alignment/>
      <protection/>
    </xf>
    <xf numFmtId="193" fontId="16" fillId="0" borderId="0" xfId="42" applyNumberFormat="1" applyFont="1" applyFill="1" applyBorder="1" applyAlignment="1" applyProtection="1">
      <alignment vertical="center"/>
      <protection locked="0"/>
    </xf>
    <xf numFmtId="193" fontId="16" fillId="0" borderId="10" xfId="42" applyNumberFormat="1" applyFont="1" applyFill="1" applyBorder="1" applyAlignment="1" applyProtection="1">
      <alignment vertical="center"/>
      <protection locked="0"/>
    </xf>
    <xf numFmtId="193" fontId="10" fillId="22" borderId="13" xfId="42" applyNumberFormat="1" applyFont="1" applyFill="1" applyBorder="1" applyAlignment="1" applyProtection="1">
      <alignment horizontal="right" vertical="center"/>
      <protection/>
    </xf>
    <xf numFmtId="193" fontId="10" fillId="24" borderId="0" xfId="42" applyNumberFormat="1" applyFont="1" applyFill="1" applyBorder="1" applyAlignment="1" applyProtection="1">
      <alignment horizontal="right" vertical="center"/>
      <protection/>
    </xf>
    <xf numFmtId="193" fontId="10" fillId="0" borderId="10" xfId="42" applyNumberFormat="1" applyFont="1" applyFill="1" applyBorder="1" applyAlignment="1" applyProtection="1">
      <alignment vertical="center"/>
      <protection/>
    </xf>
    <xf numFmtId="193" fontId="16" fillId="0" borderId="0" xfId="42" applyNumberFormat="1" applyFont="1" applyFill="1" applyBorder="1" applyAlignment="1" applyProtection="1">
      <alignment vertical="center"/>
      <protection/>
    </xf>
    <xf numFmtId="193" fontId="16" fillId="0" borderId="10" xfId="42" applyNumberFormat="1" applyFont="1" applyFill="1" applyBorder="1" applyAlignment="1" applyProtection="1">
      <alignment vertical="center"/>
      <protection/>
    </xf>
    <xf numFmtId="193" fontId="16" fillId="24" borderId="0" xfId="97" applyNumberFormat="1" applyFont="1" applyFill="1" applyBorder="1" applyAlignment="1" applyProtection="1">
      <alignment vertical="center"/>
      <protection/>
    </xf>
    <xf numFmtId="0" fontId="10" fillId="0" borderId="0" xfId="95"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0" fillId="0" borderId="10" xfId="95" applyFont="1" applyFill="1" applyBorder="1" applyAlignment="1" applyProtection="1">
      <alignment vertical="center"/>
      <protection/>
    </xf>
    <xf numFmtId="0" fontId="10" fillId="0" borderId="15" xfId="95" applyFont="1" applyFill="1" applyBorder="1" applyAlignment="1" applyProtection="1">
      <alignment vertical="center"/>
      <protection locked="0"/>
    </xf>
    <xf numFmtId="0" fontId="12" fillId="0" borderId="15" xfId="0" applyFont="1" applyBorder="1" applyAlignment="1" applyProtection="1">
      <alignment vertical="center"/>
      <protection locked="0"/>
    </xf>
    <xf numFmtId="0" fontId="10" fillId="0" borderId="10" xfId="0" applyFont="1" applyBorder="1" applyAlignment="1" applyProtection="1">
      <alignment vertical="center"/>
      <protection/>
    </xf>
    <xf numFmtId="0" fontId="11" fillId="0" borderId="10" xfId="0" applyFont="1" applyBorder="1" applyAlignment="1" applyProtection="1">
      <alignment/>
      <protection/>
    </xf>
    <xf numFmtId="0" fontId="10" fillId="0" borderId="15" xfId="0" applyFont="1" applyBorder="1" applyAlignment="1" applyProtection="1">
      <alignment vertical="center"/>
      <protection locked="0"/>
    </xf>
    <xf numFmtId="0" fontId="11" fillId="0" borderId="15" xfId="0" applyFont="1" applyBorder="1" applyAlignment="1" applyProtection="1">
      <alignment/>
      <protection locked="0"/>
    </xf>
    <xf numFmtId="0" fontId="16" fillId="24" borderId="0" xfId="95" applyNumberFormat="1" applyFont="1" applyFill="1" applyBorder="1" applyAlignment="1" applyProtection="1">
      <alignment vertical="center"/>
      <protection/>
    </xf>
    <xf numFmtId="0" fontId="10" fillId="0" borderId="15" xfId="0" applyFont="1" applyBorder="1" applyAlignment="1" applyProtection="1">
      <alignment vertical="center"/>
      <protection/>
    </xf>
    <xf numFmtId="0" fontId="16" fillId="24" borderId="0" xfId="96" applyFont="1" applyFill="1" applyBorder="1" applyAlignment="1" applyProtection="1">
      <alignment/>
      <protection/>
    </xf>
    <xf numFmtId="177" fontId="16" fillId="24" borderId="0" xfId="96" applyNumberFormat="1" applyFont="1" applyFill="1" applyAlignment="1" applyProtection="1">
      <alignment/>
      <protection/>
    </xf>
    <xf numFmtId="0" fontId="30" fillId="24" borderId="0" xfId="0" applyFont="1" applyFill="1" applyBorder="1" applyAlignment="1" applyProtection="1">
      <alignment horizontal="right" vertical="center"/>
      <protection/>
    </xf>
    <xf numFmtId="0" fontId="11" fillId="21" borderId="0" xfId="0" applyFont="1" applyFill="1" applyBorder="1" applyAlignment="1" applyProtection="1">
      <alignment/>
      <protection hidden="1"/>
    </xf>
    <xf numFmtId="0" fontId="12" fillId="21" borderId="0" xfId="0" applyFont="1" applyFill="1" applyBorder="1" applyAlignment="1" applyProtection="1">
      <alignment/>
      <protection hidden="1"/>
    </xf>
    <xf numFmtId="0" fontId="61" fillId="21" borderId="0" xfId="0" applyFont="1" applyFill="1" applyAlignment="1" applyProtection="1">
      <alignment/>
      <protection hidden="1"/>
    </xf>
    <xf numFmtId="0" fontId="11" fillId="21" borderId="0" xfId="97" applyNumberFormat="1" applyFont="1" applyFill="1" applyBorder="1" applyAlignment="1" applyProtection="1">
      <alignment vertical="top"/>
      <protection hidden="1"/>
    </xf>
    <xf numFmtId="0" fontId="0" fillId="21" borderId="0" xfId="0" applyFill="1" applyAlignment="1" applyProtection="1">
      <alignment/>
      <protection hidden="1"/>
    </xf>
    <xf numFmtId="14" fontId="62" fillId="25" borderId="0" xfId="0" applyNumberFormat="1" applyFont="1" applyFill="1" applyAlignment="1" applyProtection="1">
      <alignment/>
      <protection/>
    </xf>
    <xf numFmtId="0" fontId="22" fillId="25" borderId="0" xfId="0" applyFont="1" applyFill="1" applyAlignment="1" applyProtection="1">
      <alignment/>
      <protection locked="0"/>
    </xf>
    <xf numFmtId="0" fontId="35" fillId="21" borderId="0" xfId="0" applyFont="1" applyFill="1" applyAlignment="1" applyProtection="1">
      <alignment/>
      <protection locked="0"/>
    </xf>
    <xf numFmtId="0" fontId="12" fillId="20" borderId="0" xfId="0" applyFont="1" applyFill="1" applyAlignment="1" applyProtection="1">
      <alignment/>
      <protection hidden="1"/>
    </xf>
    <xf numFmtId="0" fontId="12" fillId="20" borderId="0" xfId="0" applyFont="1" applyFill="1" applyAlignment="1" applyProtection="1">
      <alignment/>
      <protection hidden="1"/>
    </xf>
    <xf numFmtId="0" fontId="12" fillId="20" borderId="0" xfId="0" applyFont="1" applyFill="1" applyAlignment="1" applyProtection="1">
      <alignment horizontal="right"/>
      <protection hidden="1"/>
    </xf>
    <xf numFmtId="0" fontId="12" fillId="20" borderId="0" xfId="0" applyFont="1" applyFill="1" applyAlignment="1" applyProtection="1">
      <alignment horizontal="right"/>
      <protection hidden="1"/>
    </xf>
    <xf numFmtId="0" fontId="12" fillId="24" borderId="0" xfId="0" applyFont="1" applyFill="1" applyAlignment="1" applyProtection="1">
      <alignment/>
      <protection hidden="1"/>
    </xf>
    <xf numFmtId="0" fontId="27" fillId="24" borderId="0" xfId="0" applyFont="1" applyFill="1" applyAlignment="1" applyProtection="1">
      <alignment horizontal="center" vertical="center" wrapText="1"/>
      <protection hidden="1"/>
    </xf>
    <xf numFmtId="0" fontId="23" fillId="24" borderId="0" xfId="0" applyFont="1" applyFill="1" applyAlignment="1" applyProtection="1">
      <alignment horizontal="center" vertical="center" wrapText="1"/>
      <protection hidden="1"/>
    </xf>
    <xf numFmtId="0" fontId="23" fillId="24" borderId="0" xfId="0" applyFont="1" applyFill="1" applyAlignment="1" applyProtection="1">
      <alignment horizontal="center"/>
      <protection hidden="1"/>
    </xf>
    <xf numFmtId="0" fontId="12" fillId="24" borderId="0" xfId="0" applyFont="1" applyFill="1" applyAlignment="1" applyProtection="1">
      <alignment/>
      <protection hidden="1"/>
    </xf>
    <xf numFmtId="0" fontId="10" fillId="24" borderId="0" xfId="0" applyFont="1" applyFill="1" applyAlignment="1" applyProtection="1">
      <alignment horizontal="center"/>
      <protection hidden="1"/>
    </xf>
    <xf numFmtId="0" fontId="12" fillId="24" borderId="0" xfId="0" applyFont="1" applyFill="1" applyBorder="1" applyAlignment="1" applyProtection="1">
      <alignment/>
      <protection hidden="1"/>
    </xf>
    <xf numFmtId="0" fontId="10" fillId="24" borderId="0" xfId="0" applyFont="1" applyFill="1" applyBorder="1" applyAlignment="1" applyProtection="1">
      <alignment horizontal="center"/>
      <protection hidden="1"/>
    </xf>
    <xf numFmtId="0" fontId="29" fillId="24" borderId="0" xfId="0" applyFont="1" applyFill="1" applyBorder="1" applyAlignment="1" applyProtection="1">
      <alignment horizontal="center"/>
      <protection hidden="1"/>
    </xf>
    <xf numFmtId="0" fontId="29" fillId="24" borderId="0" xfId="0" applyFont="1" applyFill="1" applyAlignment="1" applyProtection="1">
      <alignment horizontal="center"/>
      <protection hidden="1"/>
    </xf>
    <xf numFmtId="0" fontId="11" fillId="0" borderId="15" xfId="0" applyFont="1" applyBorder="1" applyAlignment="1" applyProtection="1">
      <alignment/>
      <protection/>
    </xf>
    <xf numFmtId="0" fontId="10" fillId="0" borderId="15" xfId="95" applyFont="1" applyFill="1" applyBorder="1" applyAlignment="1" applyProtection="1">
      <alignment vertical="center"/>
      <protection/>
    </xf>
    <xf numFmtId="193" fontId="10" fillId="22" borderId="10" xfId="98" applyNumberFormat="1" applyFont="1" applyFill="1" applyBorder="1" applyAlignment="1" applyProtection="1">
      <alignment vertical="center"/>
      <protection locked="0"/>
    </xf>
    <xf numFmtId="177" fontId="10" fillId="0" borderId="0" xfId="98" applyNumberFormat="1" applyFont="1" applyFill="1" applyBorder="1" applyAlignment="1" applyProtection="1">
      <alignment vertical="center"/>
      <protection locked="0"/>
    </xf>
    <xf numFmtId="177" fontId="10" fillId="22" borderId="12" xfId="0" applyNumberFormat="1" applyFont="1" applyFill="1" applyBorder="1" applyAlignment="1" applyProtection="1">
      <alignment horizontal="right"/>
      <protection locked="0"/>
    </xf>
    <xf numFmtId="0" fontId="64" fillId="0" borderId="13" xfId="0" applyFont="1" applyBorder="1" applyAlignment="1" applyProtection="1">
      <alignment vertical="top" wrapText="1"/>
      <protection locked="0"/>
    </xf>
    <xf numFmtId="193" fontId="16" fillId="0" borderId="13" xfId="42" applyNumberFormat="1" applyFont="1" applyFill="1" applyBorder="1" applyAlignment="1" applyProtection="1">
      <alignment vertical="center"/>
      <protection locked="0"/>
    </xf>
    <xf numFmtId="193" fontId="16" fillId="0" borderId="13" xfId="42" applyNumberFormat="1" applyFont="1" applyFill="1" applyBorder="1" applyAlignment="1" applyProtection="1">
      <alignment vertical="center"/>
      <protection/>
    </xf>
    <xf numFmtId="0" fontId="16" fillId="24" borderId="0" xfId="95" applyNumberFormat="1" applyFont="1" applyFill="1" applyBorder="1" applyAlignment="1" applyProtection="1">
      <alignment horizontal="center" vertical="center"/>
      <protection/>
    </xf>
    <xf numFmtId="0" fontId="10" fillId="0" borderId="0" xfId="95" applyFont="1" applyFill="1" applyBorder="1" applyAlignment="1" applyProtection="1">
      <alignment vertical="center"/>
      <protection/>
    </xf>
    <xf numFmtId="0" fontId="25" fillId="21" borderId="0" xfId="0" applyFont="1" applyFill="1" applyBorder="1" applyAlignment="1" applyProtection="1">
      <alignment/>
      <protection locked="0"/>
    </xf>
    <xf numFmtId="0" fontId="56" fillId="24" borderId="0" xfId="0" applyFont="1" applyFill="1" applyBorder="1" applyAlignment="1" applyProtection="1">
      <alignment/>
      <protection hidden="1"/>
    </xf>
    <xf numFmtId="0" fontId="12" fillId="0" borderId="0" xfId="0" applyFont="1" applyFill="1" applyBorder="1" applyAlignment="1" applyProtection="1">
      <alignment/>
      <protection locked="0"/>
    </xf>
    <xf numFmtId="177" fontId="10" fillId="24" borderId="0" xfId="96" applyNumberFormat="1" applyFont="1" applyFill="1" applyBorder="1" applyAlignment="1" applyProtection="1">
      <alignment horizontal="left" vertical="justify"/>
      <protection locked="0"/>
    </xf>
    <xf numFmtId="0" fontId="10" fillId="24" borderId="0" xfId="96" applyFont="1" applyFill="1" applyBorder="1" applyAlignment="1" applyProtection="1">
      <alignment horizontal="center"/>
      <protection locked="0"/>
    </xf>
    <xf numFmtId="177" fontId="10" fillId="24" borderId="0" xfId="96" applyNumberFormat="1" applyFont="1" applyFill="1" applyBorder="1" applyAlignment="1" applyProtection="1">
      <alignment horizontal="right"/>
      <protection locked="0"/>
    </xf>
    <xf numFmtId="177" fontId="10" fillId="24" borderId="0" xfId="96" applyNumberFormat="1" applyFont="1" applyFill="1" applyBorder="1" applyAlignment="1" applyProtection="1">
      <alignment horizontal="center"/>
      <protection locked="0"/>
    </xf>
    <xf numFmtId="0" fontId="56" fillId="0" borderId="10" xfId="0" applyFont="1" applyFill="1" applyBorder="1" applyAlignment="1" applyProtection="1">
      <alignment/>
      <protection hidden="1"/>
    </xf>
    <xf numFmtId="0" fontId="16" fillId="0" borderId="0" xfId="0" applyFont="1" applyBorder="1" applyAlignment="1" applyProtection="1">
      <alignment horizontal="left" vertical="center" wrapText="1"/>
      <protection/>
    </xf>
    <xf numFmtId="0" fontId="16" fillId="0" borderId="12" xfId="0" applyFont="1" applyBorder="1" applyAlignment="1" applyProtection="1">
      <alignment horizontal="left" vertical="center"/>
      <protection/>
    </xf>
    <xf numFmtId="193" fontId="10" fillId="24" borderId="0" xfId="98" applyNumberFormat="1" applyFont="1" applyFill="1" applyBorder="1" applyAlignment="1" applyProtection="1">
      <alignment vertical="center"/>
      <protection hidden="1"/>
    </xf>
    <xf numFmtId="0" fontId="10" fillId="24" borderId="0" xfId="0" applyFont="1" applyFill="1" applyBorder="1" applyAlignment="1" applyProtection="1">
      <alignment horizontal="left" vertical="center"/>
      <protection hidden="1"/>
    </xf>
    <xf numFmtId="0" fontId="11" fillId="24" borderId="0" xfId="0" applyFont="1" applyFill="1" applyBorder="1" applyAlignment="1" applyProtection="1">
      <alignment horizontal="center"/>
      <protection hidden="1"/>
    </xf>
    <xf numFmtId="193" fontId="65" fillId="24" borderId="0" xfId="98" applyNumberFormat="1" applyFont="1" applyFill="1" applyBorder="1" applyAlignment="1" applyProtection="1">
      <alignment vertical="center"/>
      <protection hidden="1"/>
    </xf>
    <xf numFmtId="3" fontId="30" fillId="24" borderId="0" xfId="0" applyNumberFormat="1" applyFont="1" applyFill="1" applyBorder="1" applyAlignment="1" applyProtection="1">
      <alignment/>
      <protection hidden="1"/>
    </xf>
    <xf numFmtId="3" fontId="11" fillId="24" borderId="0" xfId="0" applyNumberFormat="1" applyFont="1" applyFill="1" applyBorder="1" applyAlignment="1" applyProtection="1">
      <alignment/>
      <protection hidden="1"/>
    </xf>
    <xf numFmtId="193" fontId="11" fillId="0" borderId="0" xfId="0" applyNumberFormat="1" applyFont="1" applyBorder="1" applyAlignment="1" applyProtection="1">
      <alignment/>
      <protection hidden="1"/>
    </xf>
    <xf numFmtId="3" fontId="11" fillId="0" borderId="0" xfId="0" applyNumberFormat="1" applyFont="1" applyBorder="1" applyAlignment="1" applyProtection="1">
      <alignment/>
      <protection hidden="1"/>
    </xf>
    <xf numFmtId="0" fontId="11" fillId="0" borderId="0" xfId="0" applyFont="1" applyBorder="1" applyAlignment="1" applyProtection="1">
      <alignment/>
      <protection hidden="1"/>
    </xf>
    <xf numFmtId="193" fontId="10" fillId="0" borderId="0" xfId="98" applyNumberFormat="1" applyFont="1" applyFill="1" applyBorder="1" applyAlignment="1" applyProtection="1">
      <alignment vertical="center"/>
      <protection hidden="1"/>
    </xf>
    <xf numFmtId="193" fontId="11" fillId="0" borderId="0" xfId="98" applyNumberFormat="1" applyFont="1" applyFill="1" applyBorder="1" applyAlignment="1" applyProtection="1">
      <alignment vertical="center"/>
      <protection hidden="1"/>
    </xf>
    <xf numFmtId="193" fontId="10" fillId="0" borderId="0" xfId="0" applyNumberFormat="1" applyFont="1" applyBorder="1" applyAlignment="1" applyProtection="1">
      <alignment/>
      <protection hidden="1"/>
    </xf>
    <xf numFmtId="0" fontId="10" fillId="0" borderId="1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0" xfId="0" applyFont="1" applyBorder="1" applyAlignment="1" applyProtection="1">
      <alignment horizontal="center" vertical="center" wrapText="1"/>
      <protection hidden="1"/>
    </xf>
    <xf numFmtId="0" fontId="10" fillId="0" borderId="0" xfId="0" applyFont="1" applyBorder="1" applyAlignment="1" applyProtection="1">
      <alignment horizontal="right" vertical="center" wrapText="1"/>
      <protection hidden="1"/>
    </xf>
    <xf numFmtId="177" fontId="10" fillId="0" borderId="0" xfId="98" applyNumberFormat="1" applyFont="1" applyFill="1" applyBorder="1" applyAlignment="1" applyProtection="1">
      <alignment vertical="center"/>
      <protection hidden="1"/>
    </xf>
    <xf numFmtId="193" fontId="12" fillId="0" borderId="0" xfId="0" applyNumberFormat="1" applyFont="1" applyBorder="1" applyAlignment="1" applyProtection="1">
      <alignment/>
      <protection hidden="1"/>
    </xf>
    <xf numFmtId="177" fontId="11" fillId="0" borderId="0" xfId="98" applyNumberFormat="1" applyFont="1" applyFill="1" applyBorder="1" applyAlignment="1" applyProtection="1">
      <alignment vertical="center"/>
      <protection hidden="1"/>
    </xf>
    <xf numFmtId="193" fontId="11" fillId="0" borderId="0" xfId="0" applyNumberFormat="1" applyFont="1" applyBorder="1" applyAlignment="1" applyProtection="1">
      <alignment/>
      <protection hidden="1"/>
    </xf>
    <xf numFmtId="193" fontId="10" fillId="0" borderId="0" xfId="0" applyNumberFormat="1" applyFont="1" applyBorder="1" applyAlignment="1" applyProtection="1">
      <alignment/>
      <protection hidden="1"/>
    </xf>
    <xf numFmtId="177" fontId="11" fillId="0" borderId="0" xfId="98" applyNumberFormat="1" applyFont="1" applyFill="1" applyBorder="1" applyAlignment="1" applyProtection="1">
      <alignment horizontal="center" vertical="center"/>
      <protection hidden="1"/>
    </xf>
    <xf numFmtId="0" fontId="56" fillId="0" borderId="0" xfId="0" applyFont="1" applyFill="1" applyBorder="1" applyAlignment="1" applyProtection="1">
      <alignment horizontal="center"/>
      <protection hidden="1"/>
    </xf>
    <xf numFmtId="193" fontId="65" fillId="0" borderId="0" xfId="98" applyNumberFormat="1" applyFont="1" applyFill="1" applyBorder="1" applyAlignment="1" applyProtection="1">
      <alignment vertical="center"/>
      <protection hidden="1"/>
    </xf>
    <xf numFmtId="177" fontId="65" fillId="0" borderId="0" xfId="0" applyNumberFormat="1" applyFont="1" applyFill="1" applyBorder="1" applyAlignment="1" applyProtection="1">
      <alignment horizontal="right"/>
      <protection/>
    </xf>
    <xf numFmtId="177" fontId="65" fillId="0" borderId="0" xfId="0" applyNumberFormat="1" applyFont="1" applyFill="1" applyBorder="1" applyAlignment="1" applyProtection="1">
      <alignment horizontal="center"/>
      <protection/>
    </xf>
    <xf numFmtId="177" fontId="10" fillId="24" borderId="0" xfId="0" applyNumberFormat="1" applyFont="1" applyFill="1" applyBorder="1" applyAlignment="1" applyProtection="1">
      <alignment horizontal="right"/>
      <protection/>
    </xf>
    <xf numFmtId="0" fontId="57" fillId="24" borderId="0" xfId="0" applyFont="1" applyFill="1" applyBorder="1" applyAlignment="1" applyProtection="1">
      <alignment horizontal="center"/>
      <protection hidden="1"/>
    </xf>
    <xf numFmtId="37" fontId="11" fillId="24" borderId="0" xfId="0" applyNumberFormat="1" applyFont="1" applyFill="1" applyBorder="1" applyAlignment="1" applyProtection="1">
      <alignment horizontal="right"/>
      <protection hidden="1"/>
    </xf>
    <xf numFmtId="0" fontId="65" fillId="24" borderId="0" xfId="0" applyFont="1" applyFill="1" applyBorder="1" applyAlignment="1" applyProtection="1">
      <alignment horizontal="left" vertical="center"/>
      <protection hidden="1"/>
    </xf>
    <xf numFmtId="177" fontId="65" fillId="24" borderId="0" xfId="0" applyNumberFormat="1" applyFont="1" applyFill="1" applyBorder="1" applyAlignment="1" applyProtection="1">
      <alignment horizontal="right"/>
      <protection hidden="1"/>
    </xf>
    <xf numFmtId="37" fontId="57" fillId="24" borderId="0" xfId="0" applyNumberFormat="1" applyFont="1" applyFill="1" applyBorder="1" applyAlignment="1" applyProtection="1">
      <alignment horizontal="right"/>
      <protection hidden="1"/>
    </xf>
    <xf numFmtId="0" fontId="30" fillId="24" borderId="0" xfId="0" applyFont="1" applyFill="1" applyBorder="1" applyAlignment="1" applyProtection="1">
      <alignment horizontal="right" vertical="center"/>
      <protection hidden="1"/>
    </xf>
    <xf numFmtId="177" fontId="30" fillId="24" borderId="0" xfId="0" applyNumberFormat="1" applyFont="1" applyFill="1" applyBorder="1" applyAlignment="1" applyProtection="1">
      <alignment horizontal="right"/>
      <protection hidden="1"/>
    </xf>
    <xf numFmtId="193" fontId="66" fillId="24" borderId="0" xfId="42" applyNumberFormat="1" applyFont="1" applyFill="1" applyBorder="1" applyAlignment="1" applyProtection="1">
      <alignment vertical="center"/>
      <protection/>
    </xf>
    <xf numFmtId="193" fontId="66" fillId="24" borderId="0" xfId="42" applyNumberFormat="1" applyFont="1" applyFill="1" applyBorder="1" applyAlignment="1" applyProtection="1">
      <alignment horizontal="left" vertical="center"/>
      <protection/>
    </xf>
    <xf numFmtId="193" fontId="67" fillId="24" borderId="0" xfId="42" applyNumberFormat="1" applyFont="1" applyFill="1" applyBorder="1" applyAlignment="1" applyProtection="1">
      <alignment vertical="center"/>
      <protection/>
    </xf>
    <xf numFmtId="193" fontId="10" fillId="24" borderId="0" xfId="42" applyNumberFormat="1" applyFont="1" applyFill="1" applyBorder="1" applyAlignment="1" applyProtection="1">
      <alignment horizontal="left" vertical="center"/>
      <protection locked="0"/>
    </xf>
    <xf numFmtId="0" fontId="22" fillId="24" borderId="0" xfId="97" applyNumberFormat="1" applyFont="1" applyFill="1" applyBorder="1" applyAlignment="1" applyProtection="1">
      <alignment vertical="center"/>
      <protection locked="0"/>
    </xf>
    <xf numFmtId="193" fontId="10" fillId="24" borderId="0" xfId="42" applyNumberFormat="1" applyFont="1" applyFill="1" applyBorder="1" applyAlignment="1" applyProtection="1">
      <alignment vertical="center"/>
      <protection/>
    </xf>
    <xf numFmtId="193" fontId="10" fillId="24" borderId="0" xfId="42" applyNumberFormat="1" applyFont="1" applyFill="1" applyBorder="1" applyAlignment="1" applyProtection="1">
      <alignment horizontal="right" vertical="center"/>
      <protection/>
    </xf>
    <xf numFmtId="0" fontId="29" fillId="24" borderId="0" xfId="0" applyFont="1" applyFill="1" applyBorder="1" applyAlignment="1" applyProtection="1">
      <alignment horizontal="right"/>
      <protection hidden="1"/>
    </xf>
    <xf numFmtId="0" fontId="25" fillId="0" borderId="0" xfId="96" applyFont="1" applyFill="1" applyBorder="1" applyAlignment="1" applyProtection="1">
      <alignment vertical="top" wrapText="1"/>
      <protection locked="0"/>
    </xf>
    <xf numFmtId="0" fontId="11" fillId="0" borderId="0" xfId="96" applyFont="1" applyFill="1" applyBorder="1" applyAlignment="1" applyProtection="1">
      <alignment vertical="top"/>
      <protection locked="0"/>
    </xf>
    <xf numFmtId="0" fontId="11" fillId="0" borderId="0" xfId="96" applyFont="1" applyFill="1" applyBorder="1" applyAlignment="1" applyProtection="1">
      <alignment vertical="top" wrapText="1"/>
      <protection locked="0"/>
    </xf>
    <xf numFmtId="0" fontId="11" fillId="0" borderId="0" xfId="96" applyFont="1" applyFill="1" applyBorder="1" applyAlignment="1" applyProtection="1">
      <alignment vertical="top" wrapText="1"/>
      <protection/>
    </xf>
    <xf numFmtId="177" fontId="65" fillId="0" borderId="0" xfId="96" applyNumberFormat="1" applyFont="1" applyFill="1" applyBorder="1" applyAlignment="1" applyProtection="1">
      <alignment horizontal="right"/>
      <protection/>
    </xf>
    <xf numFmtId="0" fontId="59" fillId="24" borderId="0" xfId="0" applyFont="1" applyFill="1" applyAlignment="1" applyProtection="1">
      <alignment/>
      <protection hidden="1"/>
    </xf>
    <xf numFmtId="0" fontId="63" fillId="21" borderId="0" xfId="0" applyFont="1" applyFill="1" applyAlignment="1" applyProtection="1">
      <alignment/>
      <protection locked="0"/>
    </xf>
    <xf numFmtId="0" fontId="62" fillId="21" borderId="0" xfId="97" applyNumberFormat="1" applyFont="1" applyFill="1" applyBorder="1" applyAlignment="1" applyProtection="1">
      <alignment vertical="top"/>
      <protection locked="0"/>
    </xf>
    <xf numFmtId="0" fontId="25" fillId="21" borderId="0" xfId="97" applyNumberFormat="1" applyFont="1" applyFill="1" applyBorder="1" applyAlignment="1" applyProtection="1">
      <alignment vertical="top"/>
      <protection locked="0"/>
    </xf>
    <xf numFmtId="0" fontId="68" fillId="0" borderId="0" xfId="97" applyNumberFormat="1" applyFont="1" applyFill="1" applyBorder="1" applyAlignment="1" applyProtection="1">
      <alignment vertical="top"/>
      <protection hidden="1"/>
    </xf>
    <xf numFmtId="0" fontId="56" fillId="0" borderId="0" xfId="0" applyFont="1" applyFill="1" applyBorder="1" applyAlignment="1" applyProtection="1">
      <alignment/>
      <protection locked="0"/>
    </xf>
    <xf numFmtId="193" fontId="65" fillId="0" borderId="0" xfId="42" applyNumberFormat="1" applyFont="1" applyFill="1" applyBorder="1" applyAlignment="1" applyProtection="1">
      <alignment horizontal="right" vertical="center"/>
      <protection locked="0"/>
    </xf>
    <xf numFmtId="193" fontId="69" fillId="0" borderId="0" xfId="42" applyNumberFormat="1" applyFont="1" applyFill="1" applyBorder="1" applyAlignment="1" applyProtection="1">
      <alignment vertical="center"/>
      <protection locked="0"/>
    </xf>
    <xf numFmtId="193" fontId="65" fillId="0" borderId="0" xfId="42" applyNumberFormat="1" applyFont="1" applyFill="1" applyBorder="1" applyAlignment="1" applyProtection="1">
      <alignment horizontal="right" vertical="center"/>
      <protection/>
    </xf>
    <xf numFmtId="0" fontId="68" fillId="20" borderId="0" xfId="97" applyNumberFormat="1" applyFont="1" applyFill="1" applyBorder="1" applyAlignment="1" applyProtection="1">
      <alignment vertical="top"/>
      <protection hidden="1"/>
    </xf>
    <xf numFmtId="0" fontId="68" fillId="20" borderId="0" xfId="0" applyNumberFormat="1" applyFont="1" applyFill="1" applyAlignment="1" applyProtection="1">
      <alignment/>
      <protection hidden="1"/>
    </xf>
    <xf numFmtId="0" fontId="30" fillId="0" borderId="0" xfId="0" applyFont="1" applyFill="1" applyBorder="1" applyAlignment="1" applyProtection="1">
      <alignment horizontal="right" vertical="center"/>
      <protection hidden="1"/>
    </xf>
    <xf numFmtId="0" fontId="10" fillId="0" borderId="0" xfId="0" applyFont="1" applyFill="1" applyBorder="1" applyAlignment="1" applyProtection="1">
      <alignment horizontal="center"/>
      <protection hidden="1"/>
    </xf>
    <xf numFmtId="217" fontId="10" fillId="22" borderId="10" xfId="0" applyNumberFormat="1" applyFont="1" applyFill="1" applyBorder="1" applyAlignment="1" applyProtection="1">
      <alignment horizontal="right"/>
      <protection/>
    </xf>
    <xf numFmtId="217" fontId="11" fillId="0" borderId="0" xfId="0" applyNumberFormat="1" applyFont="1" applyBorder="1" applyAlignment="1" applyProtection="1">
      <alignment horizontal="right"/>
      <protection locked="0"/>
    </xf>
    <xf numFmtId="193" fontId="10" fillId="22" borderId="13" xfId="42" applyNumberFormat="1" applyFont="1" applyFill="1" applyBorder="1" applyAlignment="1" applyProtection="1">
      <alignment horizontal="left" vertical="center"/>
      <protection/>
    </xf>
    <xf numFmtId="0" fontId="68" fillId="0" borderId="0" xfId="0" applyNumberFormat="1" applyFont="1" applyFill="1" applyAlignment="1" applyProtection="1">
      <alignment/>
      <protection hidden="1"/>
    </xf>
    <xf numFmtId="0" fontId="12" fillId="25" borderId="0" xfId="0" applyFont="1" applyFill="1" applyAlignment="1" applyProtection="1">
      <alignment horizontal="center"/>
      <protection locked="0"/>
    </xf>
    <xf numFmtId="0" fontId="12" fillId="20" borderId="0" xfId="0" applyFont="1" applyFill="1" applyAlignment="1" applyProtection="1">
      <alignment horizontal="right"/>
      <protection locked="0"/>
    </xf>
    <xf numFmtId="0" fontId="12" fillId="0" borderId="0" xfId="0" applyFont="1" applyFill="1" applyBorder="1" applyAlignment="1" applyProtection="1">
      <alignment vertical="center"/>
      <protection locked="0"/>
    </xf>
    <xf numFmtId="193" fontId="16" fillId="0" borderId="0" xfId="97" applyNumberFormat="1" applyFont="1" applyFill="1" applyBorder="1" applyAlignment="1" applyProtection="1">
      <alignment vertical="center"/>
      <protection/>
    </xf>
    <xf numFmtId="0" fontId="11" fillId="0" borderId="0" xfId="97" applyNumberFormat="1" applyFont="1" applyFill="1" applyBorder="1" applyAlignment="1" applyProtection="1">
      <alignment vertical="center"/>
      <protection/>
    </xf>
    <xf numFmtId="0" fontId="11" fillId="0" borderId="0" xfId="97" applyNumberFormat="1" applyFont="1" applyFill="1" applyBorder="1" applyAlignment="1" applyProtection="1">
      <alignment vertical="top"/>
      <protection/>
    </xf>
    <xf numFmtId="0" fontId="10" fillId="24" borderId="0" xfId="0" applyFont="1" applyFill="1" applyAlignment="1" applyProtection="1">
      <alignment horizontal="center"/>
      <protection hidden="1"/>
    </xf>
    <xf numFmtId="0" fontId="70" fillId="21" borderId="0" xfId="0" applyFont="1" applyFill="1" applyAlignment="1" applyProtection="1">
      <alignment horizontal="center" vertical="center"/>
      <protection locked="0"/>
    </xf>
    <xf numFmtId="0" fontId="12" fillId="25" borderId="0" xfId="0" applyFont="1" applyFill="1" applyAlignment="1" applyProtection="1">
      <alignment horizontal="center"/>
      <protection locked="0"/>
    </xf>
    <xf numFmtId="14" fontId="12" fillId="20" borderId="0" xfId="0" applyNumberFormat="1" applyFont="1" applyFill="1" applyAlignment="1" applyProtection="1">
      <alignment horizontal="center"/>
      <protection/>
    </xf>
    <xf numFmtId="0" fontId="10" fillId="24" borderId="0" xfId="0" applyFont="1" applyFill="1" applyBorder="1" applyAlignment="1" applyProtection="1">
      <alignment horizontal="center"/>
      <protection hidden="1"/>
    </xf>
    <xf numFmtId="0" fontId="23" fillId="24" borderId="0" xfId="0" applyFont="1" applyFill="1" applyAlignment="1" applyProtection="1">
      <alignment horizontal="center" vertical="center"/>
      <protection hidden="1"/>
    </xf>
    <xf numFmtId="0" fontId="70" fillId="21" borderId="0" xfId="0" applyFont="1" applyFill="1" applyAlignment="1" applyProtection="1">
      <alignment vertical="center" wrapText="1"/>
      <protection hidden="1"/>
    </xf>
    <xf numFmtId="200" fontId="10" fillId="24" borderId="0" xfId="0" applyNumberFormat="1" applyFont="1" applyFill="1" applyBorder="1" applyAlignment="1" applyProtection="1">
      <alignment horizontal="center"/>
      <protection hidden="1"/>
    </xf>
    <xf numFmtId="0" fontId="12" fillId="25" borderId="0" xfId="0" applyFont="1" applyFill="1" applyAlignment="1" applyProtection="1">
      <alignment horizontal="center"/>
      <protection/>
    </xf>
    <xf numFmtId="0" fontId="29" fillId="24" borderId="0" xfId="0" applyFont="1" applyFill="1" applyBorder="1" applyAlignment="1" applyProtection="1">
      <alignment horizontal="center"/>
      <protection hidden="1"/>
    </xf>
    <xf numFmtId="0" fontId="31" fillId="24" borderId="0" xfId="0" applyFont="1" applyFill="1" applyBorder="1" applyAlignment="1" applyProtection="1">
      <alignment horizontal="center" vertical="center" wrapText="1"/>
      <protection hidden="1"/>
    </xf>
    <xf numFmtId="0" fontId="23" fillId="24" borderId="0" xfId="0" applyFont="1" applyFill="1" applyAlignment="1" applyProtection="1">
      <alignment horizontal="center" vertical="center" wrapText="1"/>
      <protection locked="0"/>
    </xf>
    <xf numFmtId="14" fontId="12" fillId="25" borderId="0" xfId="0" applyNumberFormat="1" applyFont="1" applyFill="1" applyAlignment="1" applyProtection="1">
      <alignment horizontal="center"/>
      <protection locked="0"/>
    </xf>
    <xf numFmtId="200" fontId="29" fillId="24" borderId="0" xfId="0" applyNumberFormat="1" applyFont="1" applyFill="1" applyBorder="1" applyAlignment="1" applyProtection="1">
      <alignment horizontal="center"/>
      <protection hidden="1"/>
    </xf>
    <xf numFmtId="0" fontId="32" fillId="24" borderId="0" xfId="0" applyFont="1" applyFill="1" applyAlignment="1" applyProtection="1">
      <alignment horizontal="center" vertical="center" wrapText="1"/>
      <protection hidden="1"/>
    </xf>
    <xf numFmtId="14" fontId="54" fillId="24" borderId="0" xfId="0" applyNumberFormat="1" applyFont="1" applyFill="1" applyAlignment="1" applyProtection="1">
      <alignment horizontal="center" vertical="center" wrapText="1"/>
      <protection/>
    </xf>
    <xf numFmtId="0" fontId="29" fillId="24" borderId="0" xfId="0" applyFont="1" applyFill="1" applyBorder="1" applyAlignment="1" applyProtection="1">
      <alignment horizontal="right" vertical="center"/>
      <protection/>
    </xf>
    <xf numFmtId="0" fontId="30" fillId="24" borderId="0" xfId="0" applyFont="1" applyFill="1" applyBorder="1" applyAlignment="1" applyProtection="1">
      <alignment horizontal="right" vertical="center"/>
      <protection hidden="1"/>
    </xf>
    <xf numFmtId="0" fontId="30" fillId="24" borderId="0" xfId="0" applyFont="1" applyFill="1" applyBorder="1" applyAlignment="1" applyProtection="1">
      <alignment horizontal="right" vertical="center"/>
      <protection/>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2 6" xfId="49"/>
    <cellStyle name="Comma 2 7" xfId="50"/>
    <cellStyle name="Comma 3" xfId="51"/>
    <cellStyle name="Currency" xfId="52"/>
    <cellStyle name="Currency [0]" xfId="53"/>
    <cellStyle name="Euro"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2 2" xfId="68"/>
    <cellStyle name="Normal 2 2 2 2" xfId="69"/>
    <cellStyle name="Normal 2 2 2 3" xfId="70"/>
    <cellStyle name="Normal 2 2 3" xfId="71"/>
    <cellStyle name="Normal 2 3" xfId="72"/>
    <cellStyle name="Normal 2 4" xfId="73"/>
    <cellStyle name="Normal 2 5" xfId="74"/>
    <cellStyle name="Normal 2 6" xfId="75"/>
    <cellStyle name="Normal 2 7" xfId="76"/>
    <cellStyle name="Normal 3" xfId="77"/>
    <cellStyle name="Normal 3 2" xfId="78"/>
    <cellStyle name="Normal 3 2 2" xfId="79"/>
    <cellStyle name="Normal 3 2 2 2" xfId="80"/>
    <cellStyle name="Normal 3 2 3" xfId="81"/>
    <cellStyle name="Normal 3 3" xfId="82"/>
    <cellStyle name="Normal 3 3 2" xfId="83"/>
    <cellStyle name="Normal 4" xfId="84"/>
    <cellStyle name="Normal 4 2" xfId="85"/>
    <cellStyle name="Normal 4 2 2" xfId="86"/>
    <cellStyle name="Normal 4 2 2 2" xfId="87"/>
    <cellStyle name="Normal 4 2 3" xfId="88"/>
    <cellStyle name="Normal 4 3" xfId="89"/>
    <cellStyle name="Normal 5" xfId="90"/>
    <cellStyle name="Normal 5 2" xfId="91"/>
    <cellStyle name="Normal 6 2" xfId="92"/>
    <cellStyle name="Normal 6 3" xfId="93"/>
    <cellStyle name="Normal 7" xfId="94"/>
    <cellStyle name="Normal_BAL" xfId="95"/>
    <cellStyle name="Normal_Financial statements 2000 Alcomet" xfId="96"/>
    <cellStyle name="Normal_Financial statements_bg model 2002" xfId="97"/>
    <cellStyle name="Normal_P&amp;L" xfId="98"/>
    <cellStyle name="Normal_P&amp;L_Financial statements_bg model 2002" xfId="99"/>
    <cellStyle name="Note" xfId="100"/>
    <cellStyle name="Output" xfId="101"/>
    <cellStyle name="Percent" xfId="102"/>
    <cellStyle name="Percent 2" xfId="103"/>
    <cellStyle name="Percent 2 2" xfId="104"/>
    <cellStyle name="Percent 2 3" xfId="105"/>
    <cellStyle name="Percent 2 4" xfId="106"/>
    <cellStyle name="Percent 2 4 2" xfId="107"/>
    <cellStyle name="Percent 2 5" xfId="108"/>
    <cellStyle name="Percent 2 6" xfId="109"/>
    <cellStyle name="Percent 2 7" xfId="110"/>
    <cellStyle name="Percent 5 2" xfId="111"/>
    <cellStyle name="Percent 5 3" xfId="112"/>
    <cellStyle name="Title" xfId="113"/>
    <cellStyle name="Total" xfId="114"/>
    <cellStyle name="Warning Text" xfId="115"/>
  </cellStyles>
  <dxfs count="93">
    <dxf>
      <font>
        <u val="double"/>
        <strike/>
      </font>
    </dxf>
    <dxf>
      <font>
        <u val="double"/>
        <strike/>
      </font>
    </dxf>
    <dxf>
      <font>
        <u val="double"/>
        <strike/>
      </font>
    </dxf>
    <dxf>
      <font>
        <u val="double"/>
        <strike/>
      </font>
    </dxf>
    <dxf>
      <font>
        <b val="0"/>
        <i val="0"/>
        <color theme="1"/>
      </font>
      <border>
        <top style="hair"/>
      </border>
    </dxf>
    <dxf>
      <font>
        <u val="double"/>
        <strike/>
      </font>
    </dxf>
    <dxf>
      <font>
        <u val="double"/>
        <strike/>
      </font>
    </dxf>
    <dxf>
      <font>
        <u val="double"/>
        <strike/>
      </font>
    </dxf>
    <dxf>
      <font>
        <u val="double"/>
        <strike/>
      </font>
    </dxf>
    <dxf>
      <font>
        <color theme="0"/>
      </font>
      <fill>
        <patternFill>
          <bgColor theme="0"/>
        </patternFill>
      </fill>
      <border>
        <left/>
        <right/>
        <top/>
        <bottom/>
      </border>
    </dxf>
    <dxf>
      <font>
        <b val="0"/>
        <i val="0"/>
        <color theme="1"/>
      </font>
      <border>
        <top style="hair"/>
      </border>
    </dxf>
    <dxf>
      <font>
        <u val="double"/>
        <strike/>
      </font>
    </dxf>
    <dxf>
      <font>
        <u val="double"/>
        <strike/>
      </font>
    </dxf>
    <dxf>
      <font>
        <u val="double"/>
        <strike/>
      </font>
    </dxf>
    <dxf>
      <font>
        <u val="double"/>
        <strike/>
      </font>
    </dxf>
    <dxf>
      <font>
        <strike val="0"/>
        <color theme="0" tint="-0.04997999966144562"/>
      </font>
    </dxf>
    <dxf>
      <font>
        <u val="double"/>
        <strike/>
      </font>
    </dxf>
    <dxf>
      <font>
        <u val="double"/>
        <strike/>
      </font>
    </dxf>
    <dxf>
      <font>
        <b val="0"/>
        <i val="0"/>
        <color theme="1"/>
      </font>
      <border>
        <top style="hair"/>
      </border>
    </dxf>
    <dxf>
      <font>
        <u val="double"/>
        <strike/>
      </font>
    </dxf>
    <dxf>
      <font>
        <u val="double"/>
        <strike/>
      </font>
    </dxf>
    <dxf>
      <font>
        <u val="double"/>
        <strike/>
      </font>
    </dxf>
    <dxf>
      <font>
        <u val="double"/>
        <strike/>
      </font>
    </dxf>
    <dxf>
      <font>
        <u val="double"/>
        <strike/>
      </font>
    </dxf>
    <dxf>
      <font>
        <u val="double"/>
        <strike/>
      </font>
    </dxf>
    <dxf>
      <font>
        <color auto="1"/>
      </font>
    </dxf>
    <dxf>
      <font>
        <color auto="1"/>
      </font>
      <fill>
        <patternFill patternType="none">
          <fgColor indexed="64"/>
          <bgColor indexed="65"/>
        </patternFill>
      </fill>
    </dxf>
    <dxf>
      <font>
        <color auto="1"/>
      </font>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fill>
        <patternFill patternType="none">
          <fgColor indexed="64"/>
          <bgColor indexed="65"/>
        </patternFill>
      </fill>
    </dxf>
    <dxf>
      <font>
        <color auto="1"/>
      </font>
    </dxf>
    <dxf>
      <font>
        <color auto="1"/>
      </font>
    </dxf>
    <dxf>
      <font>
        <color auto="1"/>
      </font>
      <fill>
        <patternFill patternType="none">
          <fgColor indexed="64"/>
          <bgColor indexed="65"/>
        </patternFill>
      </fill>
    </dxf>
    <dxf>
      <font>
        <color auto="1"/>
      </font>
    </dxf>
    <dxf>
      <font>
        <color auto="1"/>
      </font>
    </dxf>
    <dxf>
      <font>
        <color auto="1"/>
      </font>
      <fill>
        <patternFill patternType="none">
          <fgColor indexed="64"/>
          <bgColor indexed="65"/>
        </patternFill>
      </fill>
    </dxf>
    <dxf>
      <font>
        <strike val="0"/>
        <color theme="0" tint="-0.04997999966144562"/>
      </font>
    </dxf>
    <dxf>
      <font>
        <u val="double"/>
        <strike/>
      </font>
    </dxf>
    <dxf>
      <font>
        <u val="double"/>
        <strike/>
      </font>
    </dxf>
    <dxf>
      <font>
        <b val="0"/>
        <i val="0"/>
        <color theme="1"/>
      </font>
      <border>
        <top style="hair"/>
      </border>
    </dxf>
    <dxf>
      <font>
        <u val="double"/>
        <strike/>
      </font>
    </dxf>
    <dxf>
      <font>
        <u val="double"/>
        <strike/>
      </font>
    </dxf>
    <dxf>
      <font>
        <u val="double"/>
        <strike/>
      </font>
    </dxf>
    <dxf>
      <font>
        <u val="double"/>
        <strike/>
      </font>
    </dxf>
    <dxf>
      <font>
        <strike val="0"/>
        <color theme="0" tint="-0.04997999966144562"/>
      </font>
    </dxf>
    <dxf>
      <font>
        <u val="double"/>
        <strike/>
      </font>
    </dxf>
    <dxf>
      <font>
        <u val="double"/>
        <strike/>
      </font>
    </dxf>
    <dxf>
      <font>
        <u val="double"/>
        <strike/>
      </font>
    </dxf>
    <dxf>
      <font>
        <u val="double"/>
        <strike/>
      </font>
    </dxf>
    <dxf>
      <font>
        <b val="0"/>
        <i val="0"/>
        <color theme="1"/>
      </font>
      <border>
        <top style="hair"/>
      </border>
    </dxf>
    <dxf>
      <font>
        <u val="double"/>
        <strike/>
      </font>
    </dxf>
    <dxf>
      <font>
        <u val="double"/>
        <strike/>
      </font>
    </dxf>
    <dxf>
      <font>
        <strike val="0"/>
        <color theme="0" tint="-0.04997999966144562"/>
      </font>
    </dxf>
    <dxf>
      <font>
        <u val="double"/>
        <strike/>
      </font>
    </dxf>
    <dxf>
      <font>
        <u val="double"/>
        <strike/>
      </font>
    </dxf>
    <dxf>
      <font>
        <u val="double"/>
        <strike/>
      </font>
    </dxf>
    <dxf>
      <font>
        <u val="double"/>
        <strike/>
      </font>
    </dxf>
    <dxf>
      <font>
        <b val="0"/>
        <i val="0"/>
        <color theme="1"/>
      </font>
      <border>
        <top style="hair"/>
      </border>
    </dxf>
    <dxf>
      <font>
        <b val="0"/>
        <i val="0"/>
        <color theme="1"/>
      </font>
      <border>
        <top style="hair"/>
      </border>
    </dxf>
    <dxf>
      <font>
        <u val="double"/>
        <strike/>
      </font>
    </dxf>
    <dxf>
      <font>
        <u val="double"/>
        <strike/>
      </font>
    </dxf>
    <dxf>
      <font>
        <u val="double"/>
        <strike/>
      </font>
    </dxf>
    <dxf>
      <font>
        <u val="double"/>
        <strike/>
      </font>
    </dxf>
    <dxf>
      <font>
        <strike val="0"/>
        <color theme="0" tint="-0.04997999966144562"/>
      </font>
    </dxf>
    <dxf>
      <font>
        <u val="double"/>
        <strike/>
      </font>
    </dxf>
    <dxf>
      <font>
        <u val="double"/>
        <strike/>
      </font>
    </dxf>
    <dxf>
      <font>
        <strike val="0"/>
        <color theme="0" tint="-0.24993999302387238"/>
      </font>
      <fill>
        <patternFill>
          <bgColor theme="0" tint="-0.24993999302387238"/>
        </patternFill>
      </fill>
    </dxf>
    <dxf>
      <font>
        <strike val="0"/>
        <color auto="1"/>
      </font>
      <fill>
        <patternFill>
          <bgColor rgb="FFFFFF00"/>
        </patternFill>
      </fill>
    </dxf>
    <dxf>
      <font>
        <strike val="0"/>
        <color auto="1"/>
      </font>
    </dxf>
    <dxf>
      <font>
        <strike val="0"/>
        <color theme="0" tint="-0.24993999302387238"/>
      </font>
      <fill>
        <patternFill>
          <bgColor theme="0" tint="-0.24993999302387238"/>
        </patternFill>
      </fill>
    </dxf>
    <dxf>
      <font>
        <u val="double"/>
        <strike/>
      </font>
    </dxf>
    <dxf>
      <font>
        <u val="double"/>
        <strike/>
      </font>
    </dxf>
    <dxf>
      <font>
        <b val="0"/>
        <i val="0"/>
        <color theme="1"/>
      </font>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L57"/>
  <sheetViews>
    <sheetView workbookViewId="0" topLeftCell="A1">
      <selection activeCell="J27" sqref="J27"/>
    </sheetView>
  </sheetViews>
  <sheetFormatPr defaultColWidth="9.140625" defaultRowHeight="12.75"/>
  <cols>
    <col min="1" max="9" width="9.140625" style="160" customWidth="1"/>
    <col min="10" max="10" width="5.421875" style="160" customWidth="1"/>
    <col min="11" max="16384" width="9.140625" style="160" customWidth="1"/>
  </cols>
  <sheetData>
    <row r="1" spans="1:38" ht="12.75">
      <c r="A1" s="317"/>
      <c r="B1" s="317"/>
      <c r="C1" s="317"/>
      <c r="D1" s="317"/>
      <c r="E1" s="317"/>
      <c r="F1" s="317"/>
      <c r="G1" s="317"/>
      <c r="H1" s="317"/>
      <c r="I1" s="317"/>
      <c r="L1" s="425" t="s">
        <v>204</v>
      </c>
      <c r="M1" s="425"/>
      <c r="N1" s="425"/>
      <c r="O1" s="425"/>
      <c r="P1" s="425"/>
      <c r="Q1" s="425"/>
      <c r="R1" s="425"/>
      <c r="AA1" s="161">
        <f>DAY(AA2)</f>
        <v>31</v>
      </c>
      <c r="AB1" s="161">
        <f>MONTH(AA2)</f>
        <v>12</v>
      </c>
      <c r="AC1" s="161">
        <f>YEAR(AA2)</f>
        <v>2009</v>
      </c>
      <c r="AD1" s="425">
        <f>IF(AB3=1,AC1,IF(AB3&lt;1,AA1&amp;"."&amp;AB1&amp;"."&amp;AC1,""))</f>
        <v>2009</v>
      </c>
      <c r="AE1" s="425"/>
      <c r="AF1" s="425">
        <f>IF(AB3=1,AD1-1,IF(AB3&lt;1,AA1&amp;"."&amp;AB1&amp;"."&amp;AC1-1,""))</f>
        <v>2008</v>
      </c>
      <c r="AG1" s="425"/>
      <c r="AH1" s="263"/>
      <c r="AI1" s="420" t="s">
        <v>223</v>
      </c>
      <c r="AJ1" s="420"/>
      <c r="AK1" s="161">
        <v>1</v>
      </c>
      <c r="AL1" s="264">
        <f>MONTH(O38)</f>
        <v>1</v>
      </c>
    </row>
    <row r="2" spans="1:38" ht="12.75" customHeight="1">
      <c r="A2" s="317"/>
      <c r="B2" s="317"/>
      <c r="C2" s="317"/>
      <c r="D2" s="317"/>
      <c r="E2" s="317"/>
      <c r="F2" s="317"/>
      <c r="G2" s="317"/>
      <c r="H2" s="317"/>
      <c r="I2" s="317"/>
      <c r="L2" s="264" t="s">
        <v>205</v>
      </c>
      <c r="M2" s="264"/>
      <c r="N2" s="264"/>
      <c r="O2" s="264"/>
      <c r="P2" s="264"/>
      <c r="Q2" s="264"/>
      <c r="R2" s="264"/>
      <c r="AA2" s="432">
        <f>O36</f>
        <v>40178</v>
      </c>
      <c r="AB2" s="432"/>
      <c r="AC2" s="161"/>
      <c r="AD2" s="161"/>
      <c r="AE2" s="161"/>
      <c r="AF2" s="161"/>
      <c r="AG2" s="161"/>
      <c r="AH2" s="161"/>
      <c r="AI2" s="420" t="s">
        <v>224</v>
      </c>
      <c r="AJ2" s="420"/>
      <c r="AK2" s="161">
        <v>2</v>
      </c>
      <c r="AL2" s="161"/>
    </row>
    <row r="3" spans="1:38" ht="12.75" customHeight="1">
      <c r="A3" s="317"/>
      <c r="B3" s="427" t="str">
        <f>L27</f>
        <v>ЖЕЛЕЗОПЪТНА ИНФРАСТРУКТУРА ХОЛДИНГОВО ДРУЖЕСТВО АД</v>
      </c>
      <c r="C3" s="427"/>
      <c r="D3" s="427"/>
      <c r="E3" s="427"/>
      <c r="F3" s="427"/>
      <c r="G3" s="427"/>
      <c r="H3" s="427"/>
      <c r="I3" s="318"/>
      <c r="L3" s="264" t="s">
        <v>206</v>
      </c>
      <c r="M3" s="264"/>
      <c r="N3" s="264"/>
      <c r="O3" s="264"/>
      <c r="P3" s="264"/>
      <c r="Q3" s="264"/>
      <c r="R3" s="264"/>
      <c r="AA3" s="265" t="str">
        <f>IF(AB3=1,"за ",IF(AB3&lt;1,"към ",""))</f>
        <v>за </v>
      </c>
      <c r="AB3" s="265">
        <f>IF(AND(AB1=12,AA1=31),1,0)</f>
        <v>1</v>
      </c>
      <c r="AC3" s="161"/>
      <c r="AD3" s="161"/>
      <c r="AE3" s="161"/>
      <c r="AF3" s="161"/>
      <c r="AG3" s="161"/>
      <c r="AH3" s="161"/>
      <c r="AI3" s="420" t="s">
        <v>225</v>
      </c>
      <c r="AJ3" s="420"/>
      <c r="AK3" s="161">
        <v>3</v>
      </c>
      <c r="AL3" s="161"/>
    </row>
    <row r="4" spans="1:38" ht="12.75" customHeight="1">
      <c r="A4" s="317"/>
      <c r="B4" s="427"/>
      <c r="C4" s="427"/>
      <c r="D4" s="427"/>
      <c r="E4" s="427"/>
      <c r="F4" s="427"/>
      <c r="G4" s="427"/>
      <c r="H4" s="427"/>
      <c r="I4" s="318"/>
      <c r="L4" s="264" t="s">
        <v>216</v>
      </c>
      <c r="M4" s="264"/>
      <c r="N4" s="264"/>
      <c r="O4" s="264"/>
      <c r="P4" s="264"/>
      <c r="Q4" s="264"/>
      <c r="R4" s="264"/>
      <c r="AA4" s="425">
        <f>IF(O34=AD5,AA5,IF(O34=AD6,"",IF(O34=AD7,AA7,"")))</f>
      </c>
      <c r="AB4" s="425"/>
      <c r="AC4" s="425"/>
      <c r="AD4" s="161"/>
      <c r="AE4" s="161"/>
      <c r="AF4" s="161"/>
      <c r="AG4" s="161"/>
      <c r="AH4" s="161"/>
      <c r="AI4" s="420" t="s">
        <v>226</v>
      </c>
      <c r="AJ4" s="420"/>
      <c r="AK4" s="161">
        <v>4</v>
      </c>
      <c r="AL4" s="161"/>
    </row>
    <row r="5" spans="1:38" ht="12.75" customHeight="1">
      <c r="A5" s="317"/>
      <c r="B5" s="427"/>
      <c r="C5" s="427"/>
      <c r="D5" s="427"/>
      <c r="E5" s="427"/>
      <c r="F5" s="427"/>
      <c r="G5" s="427"/>
      <c r="H5" s="427"/>
      <c r="I5" s="318"/>
      <c r="L5" s="264" t="s">
        <v>215</v>
      </c>
      <c r="M5" s="264"/>
      <c r="N5" s="264"/>
      <c r="O5" s="264"/>
      <c r="P5" s="264"/>
      <c r="Q5" s="264"/>
      <c r="R5" s="264"/>
      <c r="AA5" s="425" t="s">
        <v>241</v>
      </c>
      <c r="AB5" s="425"/>
      <c r="AC5" s="425"/>
      <c r="AD5" s="161" t="s">
        <v>238</v>
      </c>
      <c r="AE5" s="161"/>
      <c r="AF5" s="161"/>
      <c r="AG5" s="161"/>
      <c r="AH5" s="161"/>
      <c r="AI5" s="420" t="s">
        <v>227</v>
      </c>
      <c r="AJ5" s="420"/>
      <c r="AK5" s="161">
        <v>5</v>
      </c>
      <c r="AL5" s="161"/>
    </row>
    <row r="6" spans="1:38" ht="12.75">
      <c r="A6" s="317"/>
      <c r="B6" s="427"/>
      <c r="C6" s="427"/>
      <c r="D6" s="427"/>
      <c r="E6" s="427"/>
      <c r="F6" s="427"/>
      <c r="G6" s="427"/>
      <c r="H6" s="427"/>
      <c r="I6" s="317"/>
      <c r="L6" s="264" t="s">
        <v>207</v>
      </c>
      <c r="M6" s="264"/>
      <c r="N6" s="264"/>
      <c r="O6" s="264"/>
      <c r="P6" s="264"/>
      <c r="Q6" s="264"/>
      <c r="R6" s="264"/>
      <c r="Z6" s="412" t="s">
        <v>240</v>
      </c>
      <c r="AA6" s="425"/>
      <c r="AB6" s="425"/>
      <c r="AC6" s="425"/>
      <c r="AD6" s="161" t="s">
        <v>239</v>
      </c>
      <c r="AE6" s="161"/>
      <c r="AF6" s="161"/>
      <c r="AG6" s="161"/>
      <c r="AH6" s="161"/>
      <c r="AI6" s="420" t="s">
        <v>228</v>
      </c>
      <c r="AJ6" s="420"/>
      <c r="AK6" s="161">
        <v>6</v>
      </c>
      <c r="AL6" s="161"/>
    </row>
    <row r="7" spans="1:38" ht="12.75">
      <c r="A7" s="317"/>
      <c r="B7" s="427"/>
      <c r="C7" s="427"/>
      <c r="D7" s="427"/>
      <c r="E7" s="427"/>
      <c r="F7" s="427"/>
      <c r="G7" s="427"/>
      <c r="H7" s="427"/>
      <c r="I7" s="317"/>
      <c r="L7" s="264" t="s">
        <v>122</v>
      </c>
      <c r="M7" s="264"/>
      <c r="N7" s="264"/>
      <c r="O7" s="264"/>
      <c r="P7" s="264"/>
      <c r="Q7" s="264"/>
      <c r="R7" s="264"/>
      <c r="AA7" s="425" t="s">
        <v>16</v>
      </c>
      <c r="AB7" s="425"/>
      <c r="AC7" s="425"/>
      <c r="AD7" s="161" t="s">
        <v>15</v>
      </c>
      <c r="AE7" s="161"/>
      <c r="AF7" s="161"/>
      <c r="AG7" s="161"/>
      <c r="AH7" s="161"/>
      <c r="AI7" s="420" t="s">
        <v>229</v>
      </c>
      <c r="AJ7" s="420"/>
      <c r="AK7" s="161">
        <v>7</v>
      </c>
      <c r="AL7" s="161"/>
    </row>
    <row r="8" spans="1:38" ht="12.75">
      <c r="A8" s="317"/>
      <c r="B8" s="427"/>
      <c r="C8" s="427"/>
      <c r="D8" s="427"/>
      <c r="E8" s="427"/>
      <c r="F8" s="427"/>
      <c r="G8" s="427"/>
      <c r="H8" s="427"/>
      <c r="I8" s="317"/>
      <c r="L8" s="264" t="s">
        <v>208</v>
      </c>
      <c r="M8" s="264"/>
      <c r="N8" s="264"/>
      <c r="O8" s="264"/>
      <c r="P8" s="264"/>
      <c r="Q8" s="264"/>
      <c r="R8" s="264"/>
      <c r="AA8" s="425" t="str">
        <f>IF(AB3=1,"За годината",IF(AB3&lt;1,"За периода",""))</f>
        <v>За годината</v>
      </c>
      <c r="AB8" s="425"/>
      <c r="AC8" s="425"/>
      <c r="AD8" s="161"/>
      <c r="AE8" s="161"/>
      <c r="AF8" s="161"/>
      <c r="AG8" s="161"/>
      <c r="AH8" s="161"/>
      <c r="AI8" s="420" t="s">
        <v>230</v>
      </c>
      <c r="AJ8" s="420"/>
      <c r="AK8" s="161">
        <v>8</v>
      </c>
      <c r="AL8" s="161"/>
    </row>
    <row r="9" spans="1:38" ht="12.75">
      <c r="A9" s="317"/>
      <c r="B9" s="317"/>
      <c r="C9" s="317"/>
      <c r="D9" s="317"/>
      <c r="E9" s="317"/>
      <c r="F9" s="317"/>
      <c r="G9" s="317"/>
      <c r="H9" s="317"/>
      <c r="I9" s="317"/>
      <c r="L9" s="264" t="s">
        <v>209</v>
      </c>
      <c r="M9" s="264"/>
      <c r="N9" s="264"/>
      <c r="O9" s="264"/>
      <c r="P9" s="264"/>
      <c r="Q9" s="264"/>
      <c r="R9" s="264"/>
      <c r="AA9" s="161" t="s">
        <v>41</v>
      </c>
      <c r="AB9" s="161"/>
      <c r="AC9" s="161"/>
      <c r="AD9" s="161"/>
      <c r="AE9" s="161"/>
      <c r="AF9" s="161"/>
      <c r="AG9" s="161"/>
      <c r="AH9" s="161"/>
      <c r="AI9" s="420" t="s">
        <v>231</v>
      </c>
      <c r="AJ9" s="420"/>
      <c r="AK9" s="161">
        <v>9</v>
      </c>
      <c r="AL9" s="161"/>
    </row>
    <row r="10" spans="1:38" ht="12.75">
      <c r="A10" s="317"/>
      <c r="B10" s="317"/>
      <c r="C10" s="317"/>
      <c r="D10" s="317"/>
      <c r="E10" s="317"/>
      <c r="F10" s="317"/>
      <c r="G10" s="317"/>
      <c r="H10" s="317"/>
      <c r="I10" s="317"/>
      <c r="L10" s="264" t="s">
        <v>24</v>
      </c>
      <c r="M10" s="264"/>
      <c r="N10" s="264"/>
      <c r="O10" s="264"/>
      <c r="P10" s="264"/>
      <c r="Q10" s="264"/>
      <c r="R10" s="264"/>
      <c r="AA10" s="161" t="s">
        <v>40</v>
      </c>
      <c r="AB10" s="161"/>
      <c r="AC10" s="161"/>
      <c r="AD10" s="161"/>
      <c r="AE10" s="161"/>
      <c r="AF10" s="161"/>
      <c r="AG10" s="161"/>
      <c r="AH10" s="161"/>
      <c r="AI10" s="420" t="s">
        <v>232</v>
      </c>
      <c r="AJ10" s="420"/>
      <c r="AK10" s="161">
        <v>10</v>
      </c>
      <c r="AL10" s="161"/>
    </row>
    <row r="11" spans="1:38" ht="12.75">
      <c r="A11" s="317"/>
      <c r="B11" s="317"/>
      <c r="C11" s="317"/>
      <c r="D11" s="317"/>
      <c r="E11" s="317"/>
      <c r="F11" s="317"/>
      <c r="G11" s="317"/>
      <c r="H11" s="317"/>
      <c r="I11" s="317"/>
      <c r="L11" s="264" t="s">
        <v>23</v>
      </c>
      <c r="M11" s="264"/>
      <c r="N11" s="264"/>
      <c r="O11" s="264"/>
      <c r="P11" s="264"/>
      <c r="Q11" s="264"/>
      <c r="R11" s="264"/>
      <c r="AA11" s="161"/>
      <c r="AB11" s="161"/>
      <c r="AC11" s="161"/>
      <c r="AD11" s="161"/>
      <c r="AE11" s="161"/>
      <c r="AF11" s="161"/>
      <c r="AG11" s="161"/>
      <c r="AH11" s="161"/>
      <c r="AI11" s="420" t="s">
        <v>233</v>
      </c>
      <c r="AJ11" s="420"/>
      <c r="AK11" s="161">
        <v>11</v>
      </c>
      <c r="AL11" s="161"/>
    </row>
    <row r="12" spans="1:38" ht="12.75">
      <c r="A12" s="317"/>
      <c r="B12" s="317"/>
      <c r="C12" s="317"/>
      <c r="D12" s="317"/>
      <c r="E12" s="317"/>
      <c r="F12" s="317"/>
      <c r="G12" s="317"/>
      <c r="H12" s="317"/>
      <c r="I12" s="317"/>
      <c r="L12" s="264" t="s">
        <v>210</v>
      </c>
      <c r="M12" s="264"/>
      <c r="N12" s="264"/>
      <c r="O12" s="264"/>
      <c r="P12" s="264"/>
      <c r="Q12" s="264"/>
      <c r="R12" s="264"/>
      <c r="AA12" s="161" t="str">
        <f>CONCATENATE("ОТЧЕТ ЗА ДОХОДИТЕ ",НАЧАЛО!AA3,НАЧАЛО!AD1," година")</f>
        <v>ОТЧЕТ ЗА ДОХОДИТЕ за 2009 година</v>
      </c>
      <c r="AB12" s="161"/>
      <c r="AC12" s="161"/>
      <c r="AD12" s="161"/>
      <c r="AE12" s="161"/>
      <c r="AF12" s="161"/>
      <c r="AG12" s="161"/>
      <c r="AH12" s="161"/>
      <c r="AI12" s="420" t="s">
        <v>234</v>
      </c>
      <c r="AJ12" s="420"/>
      <c r="AK12" s="161">
        <v>12</v>
      </c>
      <c r="AL12" s="161"/>
    </row>
    <row r="13" spans="1:38" ht="12.75">
      <c r="A13" s="317"/>
      <c r="B13" s="317"/>
      <c r="C13" s="317"/>
      <c r="D13" s="317"/>
      <c r="E13" s="317"/>
      <c r="F13" s="317"/>
      <c r="G13" s="317"/>
      <c r="H13" s="317"/>
      <c r="I13" s="317"/>
      <c r="L13" s="264" t="s">
        <v>25</v>
      </c>
      <c r="M13" s="264"/>
      <c r="N13" s="264"/>
      <c r="O13" s="264"/>
      <c r="P13" s="264"/>
      <c r="Q13" s="264"/>
      <c r="R13" s="264"/>
      <c r="AA13" s="161" t="str">
        <f>CONCATENATE("ОТЧЕТ ЗА ВСЕОБХВАТНИЯ ДОХОД ",НАЧАЛО!AA3,НАЧАЛО!AD1," година")</f>
        <v>ОТЧЕТ ЗА ВСЕОБХВАТНИЯ ДОХОД за 2009 година</v>
      </c>
      <c r="AB13" s="161"/>
      <c r="AC13" s="161"/>
      <c r="AD13" s="161"/>
      <c r="AE13" s="161"/>
      <c r="AF13" s="161"/>
      <c r="AG13" s="161"/>
      <c r="AH13" s="161"/>
      <c r="AI13" s="420"/>
      <c r="AJ13" s="420"/>
      <c r="AK13" s="161"/>
      <c r="AL13" s="161"/>
    </row>
    <row r="14" spans="1:38" ht="12.75">
      <c r="A14" s="317"/>
      <c r="B14" s="317"/>
      <c r="C14" s="317"/>
      <c r="D14" s="317"/>
      <c r="E14" s="317"/>
      <c r="F14" s="317"/>
      <c r="G14" s="317"/>
      <c r="H14" s="317"/>
      <c r="I14" s="317"/>
      <c r="L14" s="264" t="s">
        <v>26</v>
      </c>
      <c r="M14" s="264"/>
      <c r="N14" s="264"/>
      <c r="O14" s="264"/>
      <c r="P14" s="264"/>
      <c r="Q14" s="264"/>
      <c r="R14" s="264"/>
      <c r="AA14" s="161" t="str">
        <f>CONCATENATE("ОТЧЕТ ЗА ФИНАНСОВОТО СЪСТОЯНИЕ ","към ",DAY(НАЧАЛО!AA$2),".",MONTH(НАЧАЛО!AA$2),".",YEAR(НАЧАЛО!AA$2)," година")</f>
        <v>ОТЧЕТ ЗА ФИНАНСОВОТО СЪСТОЯНИЕ към 31.12.2009 година</v>
      </c>
      <c r="AB14" s="161"/>
      <c r="AC14" s="161"/>
      <c r="AD14" s="161"/>
      <c r="AE14" s="161"/>
      <c r="AF14" s="161"/>
      <c r="AG14" s="161"/>
      <c r="AH14" s="161"/>
      <c r="AI14" s="420"/>
      <c r="AJ14" s="420"/>
      <c r="AK14" s="161"/>
      <c r="AL14" s="161"/>
    </row>
    <row r="15" spans="1:38" ht="12.75">
      <c r="A15" s="317"/>
      <c r="B15" s="317"/>
      <c r="C15" s="317"/>
      <c r="D15" s="317"/>
      <c r="E15" s="317"/>
      <c r="F15" s="317"/>
      <c r="G15" s="317"/>
      <c r="H15" s="317"/>
      <c r="I15" s="317"/>
      <c r="L15" s="264" t="s">
        <v>43</v>
      </c>
      <c r="M15" s="264"/>
      <c r="N15" s="264"/>
      <c r="O15" s="264"/>
      <c r="P15" s="264"/>
      <c r="Q15" s="264"/>
      <c r="R15" s="264"/>
      <c r="AA15" s="161" t="str">
        <f>CONCATENATE("ОТЧЕТ ЗА ПАРИЧНИТЕ ПОТОЦИ ",НАЧАЛО!AA3,НАЧАЛО!AD1," година")</f>
        <v>ОТЧЕТ ЗА ПАРИЧНИТЕ ПОТОЦИ за 2009 година</v>
      </c>
      <c r="AB15" s="161"/>
      <c r="AC15" s="161"/>
      <c r="AD15" s="161"/>
      <c r="AE15" s="161"/>
      <c r="AF15" s="161"/>
      <c r="AG15" s="161"/>
      <c r="AH15" s="161"/>
      <c r="AI15" s="420"/>
      <c r="AJ15" s="420"/>
      <c r="AK15" s="161"/>
      <c r="AL15" s="161"/>
    </row>
    <row r="16" spans="1:38" ht="12.75">
      <c r="A16" s="317"/>
      <c r="B16" s="317"/>
      <c r="C16" s="317"/>
      <c r="D16" s="317"/>
      <c r="E16" s="317"/>
      <c r="F16" s="317"/>
      <c r="G16" s="317"/>
      <c r="H16" s="317"/>
      <c r="I16" s="317"/>
      <c r="L16" s="264" t="s">
        <v>27</v>
      </c>
      <c r="M16" s="264"/>
      <c r="N16" s="264"/>
      <c r="O16" s="264"/>
      <c r="P16" s="264"/>
      <c r="Q16" s="264"/>
      <c r="R16" s="264"/>
      <c r="AA16" s="161" t="str">
        <f>CONCATENATE("ОТЧЕТ ЗА ПРОМЕНИТЕ В СОБСТВЕНИЯ КАПИТАЛ към ",НАЧАЛО!AA1,".",НАЧАЛО!AB1,".",НАЧАЛО!AC1," година")</f>
        <v>ОТЧЕТ ЗА ПРОМЕНИТЕ В СОБСТВЕНИЯ КАПИТАЛ към 31.12.2009 година</v>
      </c>
      <c r="AB16" s="161"/>
      <c r="AC16" s="161"/>
      <c r="AD16" s="161"/>
      <c r="AE16" s="161"/>
      <c r="AF16" s="161"/>
      <c r="AG16" s="161"/>
      <c r="AH16" s="161"/>
      <c r="AI16" s="420"/>
      <c r="AJ16" s="420"/>
      <c r="AK16" s="161"/>
      <c r="AL16" s="161"/>
    </row>
    <row r="17" spans="1:38" ht="12.75">
      <c r="A17" s="317"/>
      <c r="B17" s="317"/>
      <c r="C17" s="317"/>
      <c r="D17" s="317"/>
      <c r="E17" s="317"/>
      <c r="F17" s="317"/>
      <c r="G17" s="317"/>
      <c r="H17" s="317"/>
      <c r="I17" s="317"/>
      <c r="L17" s="264" t="s">
        <v>28</v>
      </c>
      <c r="M17" s="264"/>
      <c r="N17" s="264"/>
      <c r="O17" s="264"/>
      <c r="P17" s="264"/>
      <c r="Q17" s="264"/>
      <c r="R17" s="264"/>
      <c r="S17" s="261"/>
      <c r="AA17" s="161" t="str">
        <f>IF(O$34="КП",AA$9&amp;AA12,IF(O$34="КК",AA$10&amp;AA12,AA12))</f>
        <v>ОТЧЕТ ЗА ДОХОДИТЕ за 2009 година</v>
      </c>
      <c r="AB17" s="161"/>
      <c r="AC17" s="161"/>
      <c r="AD17" s="161"/>
      <c r="AE17" s="161"/>
      <c r="AF17" s="161"/>
      <c r="AG17" s="161"/>
      <c r="AH17" s="161"/>
      <c r="AI17" s="420"/>
      <c r="AJ17" s="420"/>
      <c r="AK17" s="161"/>
      <c r="AL17" s="161"/>
    </row>
    <row r="18" spans="1:38" ht="12.75">
      <c r="A18" s="317"/>
      <c r="B18" s="317"/>
      <c r="C18" s="317"/>
      <c r="D18" s="317"/>
      <c r="E18" s="317"/>
      <c r="F18" s="317"/>
      <c r="G18" s="317"/>
      <c r="H18" s="317"/>
      <c r="I18" s="317"/>
      <c r="L18" s="264" t="s">
        <v>42</v>
      </c>
      <c r="M18" s="264"/>
      <c r="N18" s="264"/>
      <c r="O18" s="264"/>
      <c r="P18" s="264"/>
      <c r="Q18" s="264"/>
      <c r="R18" s="264"/>
      <c r="AA18" s="161" t="str">
        <f>IF(O$34="КП",AA$9&amp;AA13,IF(O$34="КК",AA$10&amp;AA13,AA13))</f>
        <v>ОТЧЕТ ЗА ВСЕОБХВАТНИЯ ДОХОД за 2009 година</v>
      </c>
      <c r="AB18" s="161"/>
      <c r="AC18" s="161"/>
      <c r="AD18" s="161"/>
      <c r="AE18" s="161"/>
      <c r="AF18" s="161"/>
      <c r="AG18" s="161"/>
      <c r="AH18" s="161"/>
      <c r="AI18" s="161"/>
      <c r="AJ18" s="161"/>
      <c r="AK18" s="161"/>
      <c r="AL18" s="161"/>
    </row>
    <row r="19" spans="1:38" ht="12.75">
      <c r="A19" s="317"/>
      <c r="B19" s="317"/>
      <c r="C19" s="317"/>
      <c r="D19" s="317"/>
      <c r="E19" s="317"/>
      <c r="F19" s="317"/>
      <c r="G19" s="317"/>
      <c r="H19" s="317"/>
      <c r="I19" s="317"/>
      <c r="L19" s="264" t="s">
        <v>29</v>
      </c>
      <c r="M19" s="264"/>
      <c r="N19" s="264"/>
      <c r="O19" s="264"/>
      <c r="P19" s="264"/>
      <c r="Q19" s="264"/>
      <c r="R19" s="264"/>
      <c r="AA19" s="161" t="str">
        <f>IF(O$34="КП",AA$9&amp;AA14,IF(O$34="КК",AA$10&amp;AA14,AA14))</f>
        <v>ОТЧЕТ ЗА ФИНАНСОВОТО СЪСТОЯНИЕ към 31.12.2009 година</v>
      </c>
      <c r="AB19" s="161"/>
      <c r="AC19" s="161"/>
      <c r="AD19" s="161"/>
      <c r="AE19" s="161"/>
      <c r="AF19" s="161"/>
      <c r="AG19" s="161"/>
      <c r="AH19" s="161"/>
      <c r="AI19" s="161"/>
      <c r="AJ19" s="161"/>
      <c r="AK19" s="161"/>
      <c r="AL19" s="161"/>
    </row>
    <row r="20" spans="1:27" ht="12.75" customHeight="1">
      <c r="A20" s="317"/>
      <c r="B20" s="317"/>
      <c r="C20" s="317"/>
      <c r="D20" s="317"/>
      <c r="E20" s="317"/>
      <c r="F20" s="317"/>
      <c r="G20" s="317"/>
      <c r="H20" s="317"/>
      <c r="I20" s="317"/>
      <c r="L20" s="264" t="s">
        <v>30</v>
      </c>
      <c r="M20" s="264"/>
      <c r="N20" s="264"/>
      <c r="O20" s="264"/>
      <c r="P20" s="264"/>
      <c r="Q20" s="264"/>
      <c r="R20" s="264"/>
      <c r="AA20" s="161" t="str">
        <f>IF(O$34="КП",AA$9&amp;AA15,IF(O$34="КК",AA$10&amp;AA15,AA15))</f>
        <v>ОТЧЕТ ЗА ПАРИЧНИТЕ ПОТОЦИ за 2009 година</v>
      </c>
    </row>
    <row r="21" spans="1:27" ht="12.75" customHeight="1">
      <c r="A21" s="317"/>
      <c r="B21" s="317"/>
      <c r="C21" s="317"/>
      <c r="D21" s="317"/>
      <c r="E21" s="317"/>
      <c r="F21" s="317"/>
      <c r="G21" s="317"/>
      <c r="H21" s="317"/>
      <c r="I21" s="317"/>
      <c r="L21" s="264" t="s">
        <v>31</v>
      </c>
      <c r="M21" s="264"/>
      <c r="N21" s="264"/>
      <c r="O21" s="264"/>
      <c r="P21" s="264"/>
      <c r="Q21" s="264"/>
      <c r="R21" s="264"/>
      <c r="AA21" s="161" t="str">
        <f>IF(O$34="КП",AA$9&amp;AA16,IF(O$34="КК",AA$10&amp;AA16,AA16))</f>
        <v>ОТЧЕТ ЗА ПРОМЕНИТЕ В СОБСТВЕНИЯ КАПИТАЛ към 31.12.2009 година</v>
      </c>
    </row>
    <row r="22" spans="1:18" ht="12.75" customHeight="1">
      <c r="A22" s="317"/>
      <c r="B22" s="317"/>
      <c r="C22" s="317"/>
      <c r="D22" s="317"/>
      <c r="E22" s="317"/>
      <c r="F22" s="317"/>
      <c r="G22" s="317"/>
      <c r="H22" s="317"/>
      <c r="I22" s="317"/>
      <c r="L22" s="264" t="s">
        <v>33</v>
      </c>
      <c r="M22" s="264"/>
      <c r="N22" s="264"/>
      <c r="O22" s="264"/>
      <c r="P22" s="264"/>
      <c r="Q22" s="264"/>
      <c r="R22" s="264"/>
    </row>
    <row r="23" spans="1:18" ht="12.75" customHeight="1">
      <c r="A23" s="431" t="str">
        <f>IF(JJ61=JK61,"КОНСОЛИДАЦИОНЕН ПАКЕТ",CONCATENATE(AA4," ФИНАНСОВ ОТЧЕТ"))</f>
        <v> ФИНАНСОВ ОТЧЕТ</v>
      </c>
      <c r="B23" s="431"/>
      <c r="C23" s="431"/>
      <c r="D23" s="431"/>
      <c r="E23" s="431"/>
      <c r="F23" s="431"/>
      <c r="G23" s="431"/>
      <c r="H23" s="431"/>
      <c r="I23" s="431"/>
      <c r="J23" s="262"/>
      <c r="L23" s="264" t="s">
        <v>32</v>
      </c>
      <c r="M23" s="264"/>
      <c r="N23" s="264"/>
      <c r="O23" s="264"/>
      <c r="P23" s="264"/>
      <c r="Q23" s="264"/>
      <c r="R23" s="264"/>
    </row>
    <row r="24" spans="1:18" ht="15.75" customHeight="1">
      <c r="A24" s="431"/>
      <c r="B24" s="431"/>
      <c r="C24" s="431"/>
      <c r="D24" s="431"/>
      <c r="E24" s="431"/>
      <c r="F24" s="431"/>
      <c r="G24" s="431"/>
      <c r="H24" s="431"/>
      <c r="I24" s="431"/>
      <c r="J24" s="262"/>
      <c r="L24" s="264" t="s">
        <v>53</v>
      </c>
      <c r="M24" s="264"/>
      <c r="N24" s="264"/>
      <c r="O24" s="310">
        <v>40633</v>
      </c>
      <c r="P24" s="264"/>
      <c r="Q24" s="264"/>
      <c r="R24" s="264"/>
    </row>
    <row r="25" spans="1:18" ht="12.75" customHeight="1">
      <c r="A25" s="319"/>
      <c r="B25" s="319"/>
      <c r="C25" s="428" t="str">
        <f>CONCATENATE(AA8," към ",AA1,".",AB1,".",AC1," г.")</f>
        <v>За годината към 31.12.2009 г.</v>
      </c>
      <c r="D25" s="428"/>
      <c r="E25" s="428"/>
      <c r="F25" s="428"/>
      <c r="G25" s="428"/>
      <c r="H25" s="319"/>
      <c r="I25" s="319"/>
      <c r="J25" s="262"/>
      <c r="L25" s="313"/>
      <c r="M25" s="313"/>
      <c r="N25" s="313"/>
      <c r="O25" s="313"/>
      <c r="P25" s="313"/>
      <c r="Q25" s="313"/>
      <c r="R25" s="314"/>
    </row>
    <row r="26" spans="1:18" ht="12.75" customHeight="1">
      <c r="A26" s="319"/>
      <c r="B26" s="319"/>
      <c r="C26" s="428"/>
      <c r="D26" s="428"/>
      <c r="E26" s="428"/>
      <c r="F26" s="428"/>
      <c r="G26" s="428"/>
      <c r="H26" s="319"/>
      <c r="I26" s="319"/>
      <c r="J26" s="262"/>
      <c r="L26" s="313" t="s">
        <v>211</v>
      </c>
      <c r="M26" s="313"/>
      <c r="N26" s="313"/>
      <c r="O26" s="314"/>
      <c r="P26" s="314"/>
      <c r="Q26" s="314"/>
      <c r="R26" s="313"/>
    </row>
    <row r="27" spans="1:18" ht="12.75" customHeight="1">
      <c r="A27" s="317"/>
      <c r="B27" s="317"/>
      <c r="C27" s="317"/>
      <c r="D27" s="317"/>
      <c r="E27" s="317"/>
      <c r="F27" s="317"/>
      <c r="G27" s="317"/>
      <c r="H27" s="317"/>
      <c r="I27" s="317"/>
      <c r="L27" s="419" t="s">
        <v>128</v>
      </c>
      <c r="M27" s="419"/>
      <c r="N27" s="419"/>
      <c r="O27" s="419"/>
      <c r="P27" s="419"/>
      <c r="Q27" s="419"/>
      <c r="R27" s="419"/>
    </row>
    <row r="28" spans="1:18" ht="12.75">
      <c r="A28" s="317"/>
      <c r="B28" s="317"/>
      <c r="C28" s="317"/>
      <c r="D28" s="317"/>
      <c r="E28" s="317"/>
      <c r="F28" s="317"/>
      <c r="G28" s="317"/>
      <c r="H28" s="317"/>
      <c r="I28" s="317"/>
      <c r="L28" s="313"/>
      <c r="M28" s="313"/>
      <c r="N28" s="313"/>
      <c r="O28" s="313"/>
      <c r="P28" s="313"/>
      <c r="Q28" s="313"/>
      <c r="R28" s="313"/>
    </row>
    <row r="29" spans="1:18" ht="21">
      <c r="A29" s="317"/>
      <c r="B29" s="422" t="str">
        <f>IF(JJ61=JK61,"С ИЗРАЗЕНО ОДИТОРСКО МНЕНИЕ","С НЕЗАВИСИМ ОДИТОРСКИ ДОКЛАД")</f>
        <v>С НЕЗАВИСИМ ОДИТОРСКИ ДОКЛАД</v>
      </c>
      <c r="C29" s="422"/>
      <c r="D29" s="422"/>
      <c r="E29" s="422"/>
      <c r="F29" s="422"/>
      <c r="G29" s="422"/>
      <c r="H29" s="422"/>
      <c r="I29" s="320"/>
      <c r="L29" s="313" t="s">
        <v>235</v>
      </c>
      <c r="M29" s="313"/>
      <c r="N29" s="313"/>
      <c r="O29" s="419" t="s">
        <v>236</v>
      </c>
      <c r="P29" s="419"/>
      <c r="Q29" s="419"/>
      <c r="R29" s="419"/>
    </row>
    <row r="30" spans="1:18" ht="21">
      <c r="A30" s="317"/>
      <c r="B30" s="422"/>
      <c r="C30" s="422"/>
      <c r="D30" s="422"/>
      <c r="E30" s="422"/>
      <c r="F30" s="422"/>
      <c r="G30" s="422"/>
      <c r="H30" s="422"/>
      <c r="I30" s="320"/>
      <c r="L30" s="313"/>
      <c r="M30" s="313"/>
      <c r="N30" s="313"/>
      <c r="O30" s="313"/>
      <c r="P30" s="313"/>
      <c r="Q30" s="313"/>
      <c r="R30" s="313"/>
    </row>
    <row r="31" spans="1:18" ht="12.75">
      <c r="A31" s="317"/>
      <c r="B31" s="317"/>
      <c r="C31" s="317"/>
      <c r="D31" s="317"/>
      <c r="E31" s="317"/>
      <c r="F31" s="317"/>
      <c r="G31" s="317"/>
      <c r="H31" s="317"/>
      <c r="I31" s="317"/>
      <c r="L31" s="313" t="s">
        <v>50</v>
      </c>
      <c r="M31" s="313"/>
      <c r="N31" s="313"/>
      <c r="O31" s="313"/>
      <c r="P31" s="313"/>
      <c r="Q31" s="313"/>
      <c r="R31" s="313"/>
    </row>
    <row r="32" spans="1:18" ht="12.75">
      <c r="A32" s="317"/>
      <c r="B32" s="317"/>
      <c r="C32" s="317"/>
      <c r="D32" s="321"/>
      <c r="E32" s="317"/>
      <c r="F32" s="317"/>
      <c r="G32" s="317"/>
      <c r="H32" s="317"/>
      <c r="I32" s="317"/>
      <c r="L32" s="313" t="s">
        <v>51</v>
      </c>
      <c r="M32" s="313"/>
      <c r="N32" s="313"/>
      <c r="O32" s="313"/>
      <c r="P32" s="313"/>
      <c r="Q32" s="313"/>
      <c r="R32" s="313"/>
    </row>
    <row r="33" spans="1:18" ht="12.75">
      <c r="A33" s="317"/>
      <c r="B33" s="317"/>
      <c r="C33" s="317"/>
      <c r="D33" s="317"/>
      <c r="E33" s="317"/>
      <c r="F33" s="317"/>
      <c r="G33" s="317"/>
      <c r="H33" s="317"/>
      <c r="I33" s="317"/>
      <c r="L33" s="313" t="s">
        <v>52</v>
      </c>
      <c r="M33" s="313"/>
      <c r="N33" s="313"/>
      <c r="O33" s="313"/>
      <c r="P33" s="313"/>
      <c r="Q33" s="313"/>
      <c r="R33" s="313"/>
    </row>
    <row r="34" spans="1:18" ht="12.75">
      <c r="A34" s="317"/>
      <c r="B34" s="317"/>
      <c r="C34" s="317"/>
      <c r="D34" s="317"/>
      <c r="E34" s="317"/>
      <c r="F34" s="317"/>
      <c r="G34" s="317"/>
      <c r="H34" s="317"/>
      <c r="I34" s="317"/>
      <c r="L34" s="313" t="s">
        <v>212</v>
      </c>
      <c r="M34" s="313"/>
      <c r="N34" s="313"/>
      <c r="O34" s="411" t="s">
        <v>239</v>
      </c>
      <c r="Q34" s="313"/>
      <c r="R34" s="313"/>
    </row>
    <row r="35" spans="1:18" ht="12.75">
      <c r="A35" s="317"/>
      <c r="B35" s="317"/>
      <c r="C35" s="317"/>
      <c r="D35" s="317"/>
      <c r="E35" s="317"/>
      <c r="F35" s="317"/>
      <c r="G35" s="317"/>
      <c r="H35" s="317"/>
      <c r="I35" s="317"/>
      <c r="L35" s="313"/>
      <c r="M35" s="313"/>
      <c r="N35" s="313"/>
      <c r="O35" s="313"/>
      <c r="P35" s="313"/>
      <c r="Q35" s="313"/>
      <c r="R35" s="313"/>
    </row>
    <row r="36" spans="1:18" ht="12.75">
      <c r="A36" s="317"/>
      <c r="B36" s="317"/>
      <c r="C36" s="317"/>
      <c r="D36" s="317"/>
      <c r="E36" s="317"/>
      <c r="F36" s="317"/>
      <c r="G36" s="317"/>
      <c r="H36" s="317"/>
      <c r="I36" s="317"/>
      <c r="L36" s="313" t="s">
        <v>213</v>
      </c>
      <c r="M36" s="313"/>
      <c r="N36" s="313"/>
      <c r="O36" s="429">
        <v>40178</v>
      </c>
      <c r="P36" s="419"/>
      <c r="Q36" s="313"/>
      <c r="R36" s="313"/>
    </row>
    <row r="37" spans="1:18" ht="12.75">
      <c r="A37" s="317"/>
      <c r="B37" s="317"/>
      <c r="C37" s="317"/>
      <c r="D37" s="317"/>
      <c r="E37" s="317"/>
      <c r="F37" s="317"/>
      <c r="G37" s="317"/>
      <c r="H37" s="317"/>
      <c r="I37" s="317"/>
      <c r="L37" s="313"/>
      <c r="M37" s="313"/>
      <c r="N37" s="313"/>
      <c r="O37" s="313"/>
      <c r="P37" s="313"/>
      <c r="Q37" s="313"/>
      <c r="R37" s="313"/>
    </row>
    <row r="38" spans="1:18" ht="12.75">
      <c r="A38" s="317"/>
      <c r="B38" s="317"/>
      <c r="C38" s="317"/>
      <c r="D38" s="317"/>
      <c r="E38" s="317"/>
      <c r="F38" s="317"/>
      <c r="G38" s="317"/>
      <c r="H38" s="317"/>
      <c r="I38" s="317"/>
      <c r="L38" s="313" t="s">
        <v>214</v>
      </c>
      <c r="M38" s="313"/>
      <c r="N38" s="313"/>
      <c r="O38" s="429">
        <v>40207</v>
      </c>
      <c r="P38" s="429"/>
      <c r="Q38" s="313"/>
      <c r="R38" s="313"/>
    </row>
    <row r="39" spans="1:18" ht="12.75">
      <c r="A39" s="317"/>
      <c r="B39" s="317"/>
      <c r="C39" s="317"/>
      <c r="D39" s="317"/>
      <c r="E39" s="317"/>
      <c r="F39" s="317"/>
      <c r="G39" s="317"/>
      <c r="H39" s="317"/>
      <c r="I39" s="317"/>
      <c r="L39" s="313"/>
      <c r="M39" s="313"/>
      <c r="N39" s="313"/>
      <c r="O39" s="313"/>
      <c r="P39" s="313"/>
      <c r="Q39" s="313"/>
      <c r="R39" s="313"/>
    </row>
    <row r="40" spans="1:18" ht="12.75">
      <c r="A40" s="317"/>
      <c r="B40" s="317"/>
      <c r="C40" s="317"/>
      <c r="D40" s="317"/>
      <c r="E40" s="317"/>
      <c r="F40" s="317"/>
      <c r="G40" s="317"/>
      <c r="H40" s="317"/>
      <c r="I40" s="317"/>
      <c r="L40" s="313"/>
      <c r="M40" s="313"/>
      <c r="N40" s="313"/>
      <c r="O40" s="313"/>
      <c r="P40" s="313"/>
      <c r="Q40" s="313"/>
      <c r="R40" s="313"/>
    </row>
    <row r="41" spans="1:18" ht="12.75">
      <c r="A41" s="317"/>
      <c r="B41" s="317"/>
      <c r="C41" s="317"/>
      <c r="D41" s="317"/>
      <c r="E41" s="317"/>
      <c r="F41" s="317"/>
      <c r="G41" s="317"/>
      <c r="H41" s="317"/>
      <c r="I41" s="317"/>
      <c r="L41" s="313" t="s">
        <v>218</v>
      </c>
      <c r="M41" s="313"/>
      <c r="N41" s="313"/>
      <c r="O41" s="419" t="s">
        <v>129</v>
      </c>
      <c r="P41" s="419"/>
      <c r="Q41" s="419"/>
      <c r="R41" s="419"/>
    </row>
    <row r="42" spans="1:18" ht="12.75">
      <c r="A42" s="317"/>
      <c r="B42" s="317"/>
      <c r="C42" s="317"/>
      <c r="D42" s="317"/>
      <c r="E42" s="317"/>
      <c r="F42" s="317"/>
      <c r="G42" s="317"/>
      <c r="H42" s="317"/>
      <c r="I42" s="317"/>
      <c r="L42" s="313"/>
      <c r="M42" s="313"/>
      <c r="N42" s="313"/>
      <c r="O42" s="313"/>
      <c r="P42" s="313"/>
      <c r="Q42" s="313"/>
      <c r="R42" s="313"/>
    </row>
    <row r="43" spans="1:18" ht="12.75">
      <c r="A43" s="317"/>
      <c r="B43" s="317"/>
      <c r="C43" s="317"/>
      <c r="D43" s="317"/>
      <c r="E43" s="317"/>
      <c r="F43" s="317"/>
      <c r="G43" s="317"/>
      <c r="H43" s="317"/>
      <c r="I43" s="317"/>
      <c r="L43" s="313" t="s">
        <v>217</v>
      </c>
      <c r="M43" s="313"/>
      <c r="N43" s="313"/>
      <c r="O43" s="419" t="s">
        <v>130</v>
      </c>
      <c r="P43" s="419"/>
      <c r="Q43" s="419"/>
      <c r="R43" s="419"/>
    </row>
    <row r="44" spans="1:18" ht="15">
      <c r="A44" s="417" t="s">
        <v>203</v>
      </c>
      <c r="B44" s="417"/>
      <c r="C44" s="417"/>
      <c r="D44" s="417"/>
      <c r="E44" s="317"/>
      <c r="F44" s="417" t="s">
        <v>140</v>
      </c>
      <c r="G44" s="417"/>
      <c r="H44" s="417"/>
      <c r="I44" s="417"/>
      <c r="L44" s="313"/>
      <c r="M44" s="313"/>
      <c r="N44" s="313"/>
      <c r="O44" s="313"/>
      <c r="P44" s="313"/>
      <c r="Q44" s="313"/>
      <c r="R44" s="313"/>
    </row>
    <row r="45" spans="1:18" ht="12.75">
      <c r="A45" s="317"/>
      <c r="B45" s="317"/>
      <c r="C45" s="317"/>
      <c r="D45" s="317"/>
      <c r="E45" s="317"/>
      <c r="F45" s="323"/>
      <c r="G45" s="323"/>
      <c r="H45" s="323"/>
      <c r="I45" s="323"/>
      <c r="L45" s="313" t="s">
        <v>219</v>
      </c>
      <c r="M45" s="313"/>
      <c r="N45" s="313"/>
      <c r="O45" s="419" t="s">
        <v>257</v>
      </c>
      <c r="P45" s="419"/>
      <c r="Q45" s="419"/>
      <c r="R45" s="419"/>
    </row>
    <row r="46" spans="1:18" ht="15">
      <c r="A46" s="421" t="str">
        <f>O41</f>
        <v>Явор Хайтов                          Красимир Сланчев</v>
      </c>
      <c r="B46" s="421"/>
      <c r="C46" s="421"/>
      <c r="D46" s="421"/>
      <c r="E46" s="317"/>
      <c r="F46" s="421" t="str">
        <f>O43</f>
        <v>Боряна Машова</v>
      </c>
      <c r="G46" s="421"/>
      <c r="H46" s="421"/>
      <c r="I46" s="421"/>
      <c r="L46" s="313"/>
      <c r="M46" s="313"/>
      <c r="N46" s="313"/>
      <c r="O46" s="313"/>
      <c r="P46" s="313"/>
      <c r="Q46" s="313"/>
      <c r="R46" s="313"/>
    </row>
    <row r="47" spans="1:18" ht="27" customHeight="1">
      <c r="A47" s="324"/>
      <c r="B47" s="324"/>
      <c r="C47" s="324"/>
      <c r="D47" s="324"/>
      <c r="E47" s="317"/>
      <c r="F47" s="324"/>
      <c r="G47" s="324"/>
      <c r="H47" s="324"/>
      <c r="I47" s="324"/>
      <c r="L47" s="423" t="s">
        <v>39</v>
      </c>
      <c r="M47" s="423"/>
      <c r="N47" s="423"/>
      <c r="O47" s="418" t="s">
        <v>256</v>
      </c>
      <c r="P47" s="418"/>
      <c r="Q47" s="418"/>
      <c r="R47" s="418"/>
    </row>
    <row r="48" spans="1:18" ht="15">
      <c r="A48" s="417"/>
      <c r="B48" s="417"/>
      <c r="C48" s="417"/>
      <c r="D48" s="417"/>
      <c r="E48" s="317"/>
      <c r="F48" s="417"/>
      <c r="G48" s="417"/>
      <c r="H48" s="417"/>
      <c r="I48" s="417"/>
      <c r="L48" s="313"/>
      <c r="M48" s="313"/>
      <c r="N48" s="313"/>
      <c r="O48" s="313"/>
      <c r="P48" s="313"/>
      <c r="Q48" s="313"/>
      <c r="R48" s="313"/>
    </row>
    <row r="49" spans="1:18" ht="15">
      <c r="A49" s="322"/>
      <c r="B49" s="322"/>
      <c r="C49" s="417" t="str">
        <f>IF(JJ61=JK61,"Заверил Консолидационния Пакет:","Заверил:")</f>
        <v>Заверил:</v>
      </c>
      <c r="D49" s="417"/>
      <c r="E49" s="417"/>
      <c r="F49" s="417"/>
      <c r="G49" s="417"/>
      <c r="H49" s="322"/>
      <c r="I49" s="322"/>
      <c r="L49" s="313" t="s">
        <v>220</v>
      </c>
      <c r="M49" s="313"/>
      <c r="N49" s="313"/>
      <c r="O49" s="313"/>
      <c r="P49" s="313"/>
      <c r="Q49" s="313"/>
      <c r="R49" s="313"/>
    </row>
    <row r="50" spans="1:18" ht="12.75">
      <c r="A50" s="323"/>
      <c r="B50" s="323"/>
      <c r="C50" s="323"/>
      <c r="D50" s="323"/>
      <c r="E50" s="323"/>
      <c r="F50" s="323"/>
      <c r="G50" s="323"/>
      <c r="H50" s="323"/>
      <c r="I50" s="323"/>
      <c r="L50" s="313" t="s">
        <v>221</v>
      </c>
      <c r="M50" s="313"/>
      <c r="N50" s="313"/>
      <c r="O50" s="313"/>
      <c r="P50" s="313"/>
      <c r="Q50" s="313"/>
      <c r="R50" s="313"/>
    </row>
    <row r="51" spans="1:18" ht="15">
      <c r="A51" s="324"/>
      <c r="B51" s="324"/>
      <c r="C51" s="417" t="str">
        <f>IF(JJ61=JK61,O47,O45)</f>
        <v>СОП „Ейч Ел Би България” ООД</v>
      </c>
      <c r="D51" s="417"/>
      <c r="E51" s="417"/>
      <c r="F51" s="417"/>
      <c r="G51" s="417"/>
      <c r="H51" s="324"/>
      <c r="I51" s="324"/>
      <c r="L51" s="313" t="s">
        <v>222</v>
      </c>
      <c r="M51" s="313"/>
      <c r="N51" s="313"/>
      <c r="O51" s="313"/>
      <c r="P51" s="313"/>
      <c r="Q51" s="313"/>
      <c r="R51" s="313"/>
    </row>
    <row r="52" spans="1:18" ht="15">
      <c r="A52" s="325"/>
      <c r="B52" s="325"/>
      <c r="C52" s="325"/>
      <c r="D52" s="326"/>
      <c r="E52" s="326"/>
      <c r="F52" s="326"/>
      <c r="G52" s="325"/>
      <c r="H52" s="325"/>
      <c r="I52" s="325"/>
      <c r="L52" s="313" t="s">
        <v>35</v>
      </c>
      <c r="M52" s="313"/>
      <c r="N52" s="313"/>
      <c r="O52" s="316" t="s">
        <v>36</v>
      </c>
      <c r="P52" s="260">
        <v>7</v>
      </c>
      <c r="Q52" s="315" t="s">
        <v>37</v>
      </c>
      <c r="R52" s="311">
        <v>45</v>
      </c>
    </row>
    <row r="53" spans="1:18" ht="12.75">
      <c r="A53" s="323"/>
      <c r="B53" s="323"/>
      <c r="C53" s="323"/>
      <c r="D53" s="323"/>
      <c r="E53" s="323"/>
      <c r="F53" s="323"/>
      <c r="G53" s="323"/>
      <c r="H53" s="323"/>
      <c r="I53" s="323"/>
      <c r="L53" s="313"/>
      <c r="M53" s="313"/>
      <c r="N53" s="313"/>
      <c r="O53" s="313"/>
      <c r="P53" s="313"/>
      <c r="Q53" s="313"/>
      <c r="R53" s="313"/>
    </row>
    <row r="54" spans="1:18" ht="12.75">
      <c r="A54" s="323"/>
      <c r="B54" s="323"/>
      <c r="C54" s="323"/>
      <c r="D54" s="323"/>
      <c r="E54" s="323"/>
      <c r="F54" s="323"/>
      <c r="G54" s="323"/>
      <c r="H54" s="323"/>
      <c r="I54" s="323"/>
      <c r="L54" s="313"/>
      <c r="M54" s="313"/>
      <c r="N54" s="313"/>
      <c r="O54" s="313"/>
      <c r="P54" s="313"/>
      <c r="Q54" s="313"/>
      <c r="R54" s="313"/>
    </row>
    <row r="55" spans="1:18" ht="15">
      <c r="A55" s="323"/>
      <c r="B55" s="323"/>
      <c r="C55" s="430"/>
      <c r="D55" s="430"/>
      <c r="E55" s="430"/>
      <c r="F55" s="430"/>
      <c r="G55" s="430"/>
      <c r="H55" s="323"/>
      <c r="I55" s="323"/>
      <c r="L55" s="313"/>
      <c r="M55" s="313"/>
      <c r="N55" s="313"/>
      <c r="O55" s="313"/>
      <c r="P55" s="313"/>
      <c r="Q55" s="313"/>
      <c r="R55" s="313"/>
    </row>
    <row r="56" spans="1:18" ht="12.75" customHeight="1">
      <c r="A56" s="323"/>
      <c r="B56" s="323"/>
      <c r="C56" s="426"/>
      <c r="D56" s="426"/>
      <c r="E56" s="426"/>
      <c r="F56" s="426"/>
      <c r="G56" s="426"/>
      <c r="H56" s="323"/>
      <c r="I56" s="323"/>
      <c r="L56" s="313"/>
      <c r="M56" s="313"/>
      <c r="N56" s="313"/>
      <c r="O56" s="313"/>
      <c r="P56" s="313"/>
      <c r="Q56" s="313"/>
      <c r="R56" s="313"/>
    </row>
    <row r="57" spans="1:18" ht="15">
      <c r="A57" s="321"/>
      <c r="B57" s="321"/>
      <c r="C57" s="424" t="str">
        <f>CONCATENATE(O29,", ",DAY(O38)," ",CHOOSE(AL1,AI1,AI2,AI3,AI4,AI5,AI6,AI7,AI8,AI9,AI10,AI11,AI12)," ",YEAR(O38)," г.")</f>
        <v>София, 29 януари 2010 г.</v>
      </c>
      <c r="D57" s="424"/>
      <c r="E57" s="424"/>
      <c r="F57" s="424"/>
      <c r="G57" s="424"/>
      <c r="H57" s="321"/>
      <c r="I57" s="321"/>
      <c r="L57" s="313"/>
      <c r="M57" s="313"/>
      <c r="N57" s="313"/>
      <c r="O57" s="313"/>
      <c r="P57" s="313"/>
      <c r="Q57" s="313"/>
      <c r="R57" s="313"/>
    </row>
  </sheetData>
  <sheetProtection password="DC9E" sheet="1"/>
  <mergeCells count="50">
    <mergeCell ref="AA2:AB2"/>
    <mergeCell ref="AA7:AC7"/>
    <mergeCell ref="O29:R29"/>
    <mergeCell ref="AI10:AJ10"/>
    <mergeCell ref="AI17:AJ17"/>
    <mergeCell ref="AA8:AC8"/>
    <mergeCell ref="AI8:AJ8"/>
    <mergeCell ref="AI9:AJ9"/>
    <mergeCell ref="AI1:AJ1"/>
    <mergeCell ref="AI2:AJ2"/>
    <mergeCell ref="L1:R1"/>
    <mergeCell ref="AI7:AJ7"/>
    <mergeCell ref="AI3:AJ3"/>
    <mergeCell ref="AI4:AJ4"/>
    <mergeCell ref="AI5:AJ5"/>
    <mergeCell ref="AI6:AJ6"/>
    <mergeCell ref="AD1:AE1"/>
    <mergeCell ref="AF1:AG1"/>
    <mergeCell ref="O38:P38"/>
    <mergeCell ref="A48:D48"/>
    <mergeCell ref="F48:I48"/>
    <mergeCell ref="A23:I24"/>
    <mergeCell ref="A44:D44"/>
    <mergeCell ref="A46:D46"/>
    <mergeCell ref="F44:I44"/>
    <mergeCell ref="C57:G57"/>
    <mergeCell ref="AA4:AC4"/>
    <mergeCell ref="AA5:AC5"/>
    <mergeCell ref="AA6:AC6"/>
    <mergeCell ref="C56:G56"/>
    <mergeCell ref="B3:H8"/>
    <mergeCell ref="C25:G26"/>
    <mergeCell ref="O36:P36"/>
    <mergeCell ref="C55:G55"/>
    <mergeCell ref="L27:R27"/>
    <mergeCell ref="C51:G51"/>
    <mergeCell ref="AI11:AJ11"/>
    <mergeCell ref="AI12:AJ12"/>
    <mergeCell ref="AI13:AJ13"/>
    <mergeCell ref="AI14:AJ14"/>
    <mergeCell ref="AI15:AJ15"/>
    <mergeCell ref="AI16:AJ16"/>
    <mergeCell ref="F46:I46"/>
    <mergeCell ref="B29:H30"/>
    <mergeCell ref="L47:N47"/>
    <mergeCell ref="C49:G49"/>
    <mergeCell ref="O47:R47"/>
    <mergeCell ref="O41:R41"/>
    <mergeCell ref="O43:R43"/>
    <mergeCell ref="O45:R45"/>
  </mergeCells>
  <conditionalFormatting sqref="A1:B57 C49 H1:I57 C1:G48 C50:G57">
    <cfRule type="expression" priority="15" dxfId="0" stopIfTrue="1">
      <formula>JJ11&lt;&gt;JK11</formula>
    </cfRule>
    <cfRule type="expression" priority="16" dxfId="0" stopIfTrue="1">
      <formula>JJ12&gt;JK12</formula>
    </cfRule>
  </conditionalFormatting>
  <conditionalFormatting sqref="L31:L34 O34 L45 O45:R45">
    <cfRule type="expression" priority="5" dxfId="86" stopIfTrue="1">
      <formula>JJ61=JK61</formula>
    </cfRule>
  </conditionalFormatting>
  <conditionalFormatting sqref="L47:N47">
    <cfRule type="expression" priority="3" dxfId="25" stopIfTrue="1">
      <formula>JJ61=JK61</formula>
    </cfRule>
  </conditionalFormatting>
  <conditionalFormatting sqref="O47:R47">
    <cfRule type="expression" priority="2" dxfId="87" stopIfTrue="1">
      <formula>JJ61=JK61</formula>
    </cfRule>
  </conditionalFormatting>
  <conditionalFormatting sqref="L49:L52 O52:R52">
    <cfRule type="expression" priority="1" dxfId="86" stopIfTrue="1">
      <formula>JJ61=JK61</formula>
    </cfRule>
  </conditionalFormatting>
  <printOptions horizontalCentered="1"/>
  <pageMargins left="0.7480314960629921" right="0.7480314960629921" top="0.3937007874015748"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4"/>
  <dimension ref="A1:AC145"/>
  <sheetViews>
    <sheetView tabSelected="1" zoomScalePageLayoutView="0" workbookViewId="0" topLeftCell="A1">
      <pane ySplit="2" topLeftCell="BM3" activePane="bottomLeft" state="frozen"/>
      <selection pane="topLeft" activeCell="A4" sqref="A4"/>
      <selection pane="bottomLeft" activeCell="F108" sqref="F108"/>
    </sheetView>
  </sheetViews>
  <sheetFormatPr defaultColWidth="9.140625" defaultRowHeight="12.75"/>
  <cols>
    <col min="1" max="1" width="50.7109375" style="13" customWidth="1"/>
    <col min="2" max="2" width="1.7109375" style="13" customWidth="1"/>
    <col min="3" max="3" width="10.140625" style="32" bestFit="1" customWidth="1"/>
    <col min="4" max="4" width="1.7109375" style="33" hidden="1" customWidth="1"/>
    <col min="5" max="5" width="1.7109375" style="33" customWidth="1"/>
    <col min="6" max="6" width="12.7109375" style="13" customWidth="1"/>
    <col min="7" max="7" width="1.7109375" style="13" hidden="1" customWidth="1"/>
    <col min="8" max="8" width="1.7109375" style="13" customWidth="1"/>
    <col min="9" max="9" width="12.7109375" style="13" customWidth="1"/>
    <col min="10" max="10" width="1.7109375" style="13" hidden="1" customWidth="1"/>
    <col min="11" max="11" width="1.7109375" style="13" customWidth="1"/>
    <col min="12" max="12" width="12.7109375" style="13" hidden="1" customWidth="1"/>
    <col min="13" max="21" width="1.7109375" style="13" hidden="1" customWidth="1"/>
    <col min="22" max="22" width="1.7109375" style="337" hidden="1" customWidth="1"/>
    <col min="23" max="23" width="1.7109375" style="13" hidden="1" customWidth="1"/>
    <col min="24" max="16384" width="9.140625" style="13" customWidth="1"/>
  </cols>
  <sheetData>
    <row r="1" spans="1:29" ht="18" customHeight="1">
      <c r="A1" s="296" t="str">
        <f>ОД!A1:I1</f>
        <v>ЖЕЛЕЗОПЪТНА ИНФРАСТРУКТУРА ХОЛДИНГОВО ДРУЖЕСТВО АД</v>
      </c>
      <c r="B1" s="296"/>
      <c r="C1" s="296"/>
      <c r="D1" s="296"/>
      <c r="E1" s="296"/>
      <c r="F1" s="296"/>
      <c r="G1" s="296"/>
      <c r="H1" s="296"/>
      <c r="I1" s="296"/>
      <c r="J1" s="213"/>
      <c r="K1" s="344"/>
      <c r="L1" s="344"/>
      <c r="M1" s="213"/>
      <c r="N1" s="213"/>
      <c r="O1" s="213"/>
      <c r="P1" s="213"/>
      <c r="Q1" s="213"/>
      <c r="R1" s="213"/>
      <c r="S1" s="213"/>
      <c r="T1" s="213"/>
      <c r="U1" s="213"/>
      <c r="V1" s="213">
        <v>2</v>
      </c>
      <c r="W1" s="213"/>
      <c r="X1" s="305"/>
      <c r="Y1" s="305"/>
      <c r="Z1" s="305"/>
      <c r="AA1" s="305"/>
      <c r="AB1" s="305"/>
      <c r="AC1" s="305"/>
    </row>
    <row r="2" spans="1:23" s="14" customFormat="1" ht="15">
      <c r="A2" s="301" t="str">
        <f>НАЧАЛО!AA19</f>
        <v>ОТЧЕТ ЗА ФИНАНСОВОТО СЪСТОЯНИЕ към 31.12.2009 година</v>
      </c>
      <c r="B2" s="301"/>
      <c r="C2" s="301"/>
      <c r="D2" s="301"/>
      <c r="E2" s="301"/>
      <c r="F2" s="301"/>
      <c r="G2" s="301"/>
      <c r="H2" s="301"/>
      <c r="I2" s="301"/>
      <c r="J2" s="213"/>
      <c r="K2" s="213"/>
      <c r="L2" s="213"/>
      <c r="M2" s="213"/>
      <c r="N2" s="213"/>
      <c r="O2" s="213"/>
      <c r="P2" s="213"/>
      <c r="Q2" s="213"/>
      <c r="R2" s="213"/>
      <c r="S2" s="213"/>
      <c r="T2" s="213"/>
      <c r="U2" s="213"/>
      <c r="V2" s="213">
        <v>2</v>
      </c>
      <c r="W2" s="213"/>
    </row>
    <row r="3" spans="1:23" ht="15" customHeight="1">
      <c r="A3" s="39"/>
      <c r="B3" s="39"/>
      <c r="C3" s="40"/>
      <c r="D3" s="39"/>
      <c r="E3" s="39"/>
      <c r="F3" s="41"/>
      <c r="G3" s="39"/>
      <c r="H3" s="39"/>
      <c r="I3" s="41"/>
      <c r="J3" s="213"/>
      <c r="K3" s="213"/>
      <c r="L3" s="213"/>
      <c r="M3" s="213"/>
      <c r="N3" s="213"/>
      <c r="O3" s="213"/>
      <c r="P3" s="213"/>
      <c r="Q3" s="213"/>
      <c r="R3" s="213"/>
      <c r="S3" s="213"/>
      <c r="T3" s="213"/>
      <c r="U3" s="213"/>
      <c r="V3" s="213">
        <v>2</v>
      </c>
      <c r="W3" s="213"/>
    </row>
    <row r="4" spans="1:23" s="16" customFormat="1" ht="15">
      <c r="A4" s="42"/>
      <c r="B4" s="42"/>
      <c r="C4" s="43" t="s">
        <v>131</v>
      </c>
      <c r="D4" s="39"/>
      <c r="E4" s="39"/>
      <c r="F4" s="15">
        <f>НАЧАЛО!AA2</f>
        <v>40178</v>
      </c>
      <c r="G4" s="45"/>
      <c r="H4" s="45"/>
      <c r="I4" s="15" t="str">
        <f>CONCATENATE("31.12.",YEAR(НАЧАЛО!AA2)-1," г.")</f>
        <v>31.12.2008 г.</v>
      </c>
      <c r="J4" s="214"/>
      <c r="K4" s="214"/>
      <c r="L4" s="15" t="str">
        <f>CONCATENATE("1.01.",YEAR(НАЧАЛО!AA2)-1," г.")</f>
        <v>1.01.2008 г.</v>
      </c>
      <c r="M4" s="214"/>
      <c r="N4" s="214"/>
      <c r="O4" s="214"/>
      <c r="P4" s="214"/>
      <c r="Q4" s="214"/>
      <c r="R4" s="214"/>
      <c r="S4" s="214"/>
      <c r="T4" s="214"/>
      <c r="U4" s="214"/>
      <c r="V4" s="214">
        <v>2</v>
      </c>
      <c r="W4" s="214"/>
    </row>
    <row r="5" spans="1:23" ht="18" customHeight="1">
      <c r="A5" s="46" t="s">
        <v>136</v>
      </c>
      <c r="B5" s="46"/>
      <c r="C5" s="40"/>
      <c r="D5" s="39"/>
      <c r="E5" s="39"/>
      <c r="F5" s="47" t="s">
        <v>141</v>
      </c>
      <c r="G5" s="48"/>
      <c r="H5" s="48"/>
      <c r="I5" s="47" t="s">
        <v>141</v>
      </c>
      <c r="J5" s="213"/>
      <c r="K5" s="213"/>
      <c r="L5" s="47" t="s">
        <v>141</v>
      </c>
      <c r="M5" s="213"/>
      <c r="N5" s="213"/>
      <c r="O5" s="213"/>
      <c r="P5" s="213"/>
      <c r="Q5" s="213"/>
      <c r="R5" s="213"/>
      <c r="S5" s="213"/>
      <c r="T5" s="213"/>
      <c r="U5" s="213"/>
      <c r="V5" s="213">
        <v>2</v>
      </c>
      <c r="W5" s="213"/>
    </row>
    <row r="6" spans="1:23" ht="9" customHeight="1">
      <c r="A6" s="49"/>
      <c r="B6" s="49"/>
      <c r="C6" s="40"/>
      <c r="D6" s="39"/>
      <c r="E6" s="39"/>
      <c r="F6" s="47"/>
      <c r="G6" s="48"/>
      <c r="H6" s="48"/>
      <c r="I6" s="47"/>
      <c r="J6" s="213"/>
      <c r="K6" s="213"/>
      <c r="L6" s="213"/>
      <c r="M6" s="213"/>
      <c r="N6" s="213"/>
      <c r="O6" s="213"/>
      <c r="P6" s="213"/>
      <c r="Q6" s="213"/>
      <c r="R6" s="213"/>
      <c r="S6" s="213"/>
      <c r="T6" s="213"/>
      <c r="U6" s="213"/>
      <c r="V6" s="213">
        <f>IF(V7=0,0,1)</f>
        <v>1</v>
      </c>
      <c r="W6" s="213"/>
    </row>
    <row r="7" spans="1:23" ht="16.5" customHeight="1">
      <c r="A7" s="50" t="s">
        <v>251</v>
      </c>
      <c r="B7" s="49"/>
      <c r="C7" s="40"/>
      <c r="D7" s="39"/>
      <c r="E7" s="39"/>
      <c r="F7" s="47"/>
      <c r="G7" s="48"/>
      <c r="H7" s="48"/>
      <c r="I7" s="47"/>
      <c r="J7" s="213"/>
      <c r="K7" s="213"/>
      <c r="L7" s="213"/>
      <c r="M7" s="213"/>
      <c r="N7" s="213"/>
      <c r="O7" s="213"/>
      <c r="P7" s="213"/>
      <c r="Q7" s="213"/>
      <c r="R7" s="213"/>
      <c r="S7" s="213"/>
      <c r="T7" s="213"/>
      <c r="U7" s="213"/>
      <c r="V7" s="213">
        <f>IF(V25=0,0,1)</f>
        <v>1</v>
      </c>
      <c r="W7" s="213"/>
    </row>
    <row r="8" spans="1:23" ht="6.75" customHeight="1">
      <c r="A8" s="46"/>
      <c r="B8" s="46"/>
      <c r="C8" s="51"/>
      <c r="D8" s="52"/>
      <c r="E8" s="52"/>
      <c r="F8" s="53"/>
      <c r="G8" s="54"/>
      <c r="H8" s="54"/>
      <c r="I8" s="53"/>
      <c r="J8" s="213"/>
      <c r="K8" s="213"/>
      <c r="L8" s="213"/>
      <c r="M8" s="213"/>
      <c r="N8" s="213"/>
      <c r="O8" s="213"/>
      <c r="P8" s="213"/>
      <c r="Q8" s="213"/>
      <c r="R8" s="213"/>
      <c r="S8" s="213"/>
      <c r="T8" s="213"/>
      <c r="U8" s="213"/>
      <c r="V8" s="213">
        <f>IF(V9=0,0,1)</f>
        <v>1</v>
      </c>
      <c r="W8" s="213"/>
    </row>
    <row r="9" spans="1:23" ht="15.75" customHeight="1">
      <c r="A9" s="55" t="s">
        <v>115</v>
      </c>
      <c r="B9" s="56"/>
      <c r="C9" s="104" t="str">
        <f>IF(AND(F9=0,I9=0,L9=0),"",CONCATENATE("1.",D9,"."))</f>
        <v>1.1.</v>
      </c>
      <c r="D9" s="105">
        <f>IF(AND(F9=0,I9=0,L9=0),0,MAX(D$8:D8)+1)</f>
        <v>1</v>
      </c>
      <c r="E9" s="105"/>
      <c r="F9" s="17">
        <v>70</v>
      </c>
      <c r="G9" s="18"/>
      <c r="H9" s="353"/>
      <c r="I9" s="17">
        <v>17</v>
      </c>
      <c r="J9" s="213"/>
      <c r="K9" s="339"/>
      <c r="L9" s="17"/>
      <c r="M9" s="213"/>
      <c r="N9" s="213"/>
      <c r="O9" s="213"/>
      <c r="P9" s="213"/>
      <c r="Q9" s="213"/>
      <c r="R9" s="213"/>
      <c r="S9" s="213"/>
      <c r="T9" s="213"/>
      <c r="U9" s="213"/>
      <c r="V9" s="213">
        <f>IF(AND(F9=0,I9=0,L9=0),0,1)</f>
        <v>1</v>
      </c>
      <c r="W9" s="339"/>
    </row>
    <row r="10" spans="1:23" ht="9" customHeight="1" hidden="1">
      <c r="A10" s="59"/>
      <c r="B10" s="59"/>
      <c r="C10" s="60"/>
      <c r="D10" s="106"/>
      <c r="E10" s="106"/>
      <c r="F10" s="19"/>
      <c r="G10" s="20"/>
      <c r="H10" s="354"/>
      <c r="I10" s="19"/>
      <c r="J10" s="213"/>
      <c r="K10" s="213"/>
      <c r="L10" s="19"/>
      <c r="M10" s="213"/>
      <c r="N10" s="213"/>
      <c r="O10" s="213"/>
      <c r="P10" s="213"/>
      <c r="Q10" s="213"/>
      <c r="R10" s="213"/>
      <c r="S10" s="213"/>
      <c r="T10" s="213"/>
      <c r="U10" s="213"/>
      <c r="V10" s="213">
        <f>IF(V11=0,0,1)</f>
        <v>0</v>
      </c>
      <c r="W10" s="213"/>
    </row>
    <row r="11" spans="1:23" ht="15.75" customHeight="1" hidden="1">
      <c r="A11" s="55" t="s">
        <v>159</v>
      </c>
      <c r="B11" s="56"/>
      <c r="C11" s="104">
        <f>IF(AND(F11=0,I11=0,L11=0),"",CONCATENATE("1.",D11,"."))</f>
      </c>
      <c r="D11" s="105">
        <f>IF(AND(F11=0,I11=0,L11=0),0,MAX(D$8:D10)+1)</f>
        <v>0</v>
      </c>
      <c r="E11" s="105"/>
      <c r="F11" s="17"/>
      <c r="G11" s="18"/>
      <c r="H11" s="353"/>
      <c r="I11" s="17"/>
      <c r="J11" s="213"/>
      <c r="K11" s="339"/>
      <c r="L11" s="17"/>
      <c r="M11" s="213"/>
      <c r="N11" s="213"/>
      <c r="O11" s="213"/>
      <c r="P11" s="213"/>
      <c r="Q11" s="213"/>
      <c r="R11" s="213"/>
      <c r="S11" s="213"/>
      <c r="T11" s="213"/>
      <c r="U11" s="213"/>
      <c r="V11" s="213">
        <f>IF(AND(F11=0,I11=0,L11=0),0,1)</f>
        <v>0</v>
      </c>
      <c r="W11" s="339"/>
    </row>
    <row r="12" spans="1:23" ht="9" customHeight="1">
      <c r="A12" s="59"/>
      <c r="B12" s="59"/>
      <c r="C12" s="60"/>
      <c r="D12" s="106"/>
      <c r="E12" s="106"/>
      <c r="F12" s="19"/>
      <c r="G12" s="20"/>
      <c r="H12" s="354"/>
      <c r="I12" s="19"/>
      <c r="J12" s="213"/>
      <c r="K12" s="213"/>
      <c r="L12" s="19"/>
      <c r="M12" s="213"/>
      <c r="N12" s="213"/>
      <c r="O12" s="213"/>
      <c r="P12" s="213"/>
      <c r="Q12" s="213"/>
      <c r="R12" s="213"/>
      <c r="S12" s="213"/>
      <c r="T12" s="213"/>
      <c r="U12" s="213"/>
      <c r="V12" s="213">
        <f>IF(V13=0,0,1)</f>
        <v>1</v>
      </c>
      <c r="W12" s="213"/>
    </row>
    <row r="13" spans="1:23" ht="15">
      <c r="A13" s="55" t="s">
        <v>144</v>
      </c>
      <c r="B13" s="56"/>
      <c r="C13" s="104" t="str">
        <f>IF(AND(F13=0,I13=0,L13=0),"",CONCATENATE("1.",D13,"."))</f>
        <v>1.2.</v>
      </c>
      <c r="D13" s="105">
        <f>IF(AND(F13=0,I13=0,L13=0),0,MAX(D$8:D12)+1)</f>
        <v>2</v>
      </c>
      <c r="E13" s="105"/>
      <c r="F13" s="17"/>
      <c r="G13" s="18"/>
      <c r="H13" s="353"/>
      <c r="I13" s="17">
        <v>1</v>
      </c>
      <c r="J13" s="213"/>
      <c r="K13" s="339"/>
      <c r="L13" s="17"/>
      <c r="M13" s="213"/>
      <c r="N13" s="213"/>
      <c r="O13" s="213"/>
      <c r="P13" s="213"/>
      <c r="Q13" s="213"/>
      <c r="R13" s="213"/>
      <c r="S13" s="213"/>
      <c r="T13" s="213"/>
      <c r="U13" s="213"/>
      <c r="V13" s="213">
        <f>IF(AND(F13=0,I13=0,L13=0),0,1)</f>
        <v>1</v>
      </c>
      <c r="W13" s="339"/>
    </row>
    <row r="14" spans="1:23" ht="9" customHeight="1">
      <c r="A14" s="59"/>
      <c r="B14" s="59"/>
      <c r="C14" s="60"/>
      <c r="D14" s="106"/>
      <c r="E14" s="106"/>
      <c r="F14" s="19"/>
      <c r="G14" s="20"/>
      <c r="H14" s="354"/>
      <c r="I14" s="19"/>
      <c r="J14" s="213"/>
      <c r="K14" s="213"/>
      <c r="L14" s="19"/>
      <c r="M14" s="213"/>
      <c r="N14" s="213"/>
      <c r="O14" s="213"/>
      <c r="P14" s="213"/>
      <c r="Q14" s="213"/>
      <c r="R14" s="213"/>
      <c r="S14" s="213"/>
      <c r="T14" s="213"/>
      <c r="U14" s="213"/>
      <c r="V14" s="213">
        <f>IF(V15=0,0,1)</f>
        <v>1</v>
      </c>
      <c r="W14" s="213"/>
    </row>
    <row r="15" spans="1:23" ht="15">
      <c r="A15" s="55" t="s">
        <v>249</v>
      </c>
      <c r="B15" s="56"/>
      <c r="C15" s="104" t="str">
        <f>IF(AND(F15=0,I15=0,L15=0),"",CONCATENATE("1.",D15,"."))</f>
        <v>1.3.</v>
      </c>
      <c r="D15" s="105">
        <f>IF(AND(F15=0,I15=0,L15=0),0,MAX(D$8:D14)+1)</f>
        <v>3</v>
      </c>
      <c r="E15" s="105"/>
      <c r="F15" s="17">
        <v>59178</v>
      </c>
      <c r="G15" s="18"/>
      <c r="H15" s="353"/>
      <c r="I15" s="17">
        <v>59406</v>
      </c>
      <c r="J15" s="213"/>
      <c r="K15" s="339"/>
      <c r="L15" s="17"/>
      <c r="M15" s="213"/>
      <c r="N15" s="213"/>
      <c r="O15" s="213"/>
      <c r="P15" s="213"/>
      <c r="Q15" s="213"/>
      <c r="R15" s="213"/>
      <c r="S15" s="213"/>
      <c r="T15" s="213"/>
      <c r="U15" s="213"/>
      <c r="V15" s="213">
        <f>IF(AND(F15=0,I15=0,L15=0),0,1)</f>
        <v>1</v>
      </c>
      <c r="W15" s="339"/>
    </row>
    <row r="16" spans="1:23" ht="9" customHeight="1" hidden="1">
      <c r="A16" s="59"/>
      <c r="B16" s="59"/>
      <c r="C16" s="60"/>
      <c r="D16" s="106"/>
      <c r="E16" s="106"/>
      <c r="F16" s="19"/>
      <c r="G16" s="20"/>
      <c r="H16" s="354"/>
      <c r="I16" s="19"/>
      <c r="J16" s="213"/>
      <c r="K16" s="213"/>
      <c r="L16" s="19"/>
      <c r="M16" s="213"/>
      <c r="N16" s="213"/>
      <c r="O16" s="213"/>
      <c r="P16" s="213"/>
      <c r="Q16" s="213"/>
      <c r="R16" s="213"/>
      <c r="S16" s="213"/>
      <c r="T16" s="213"/>
      <c r="U16" s="213"/>
      <c r="V16" s="213">
        <f>IF(V17=0,0,1)</f>
        <v>0</v>
      </c>
      <c r="W16" s="213"/>
    </row>
    <row r="17" spans="1:23" ht="15" hidden="1">
      <c r="A17" s="55" t="s">
        <v>55</v>
      </c>
      <c r="B17" s="56"/>
      <c r="C17" s="104">
        <f>IF(AND(F17=0,I17=0,L17=0),"",CONCATENATE("1.",D17,"."))</f>
      </c>
      <c r="D17" s="105">
        <f>IF(AND(F17=0,I17=0,L17=0),0,MAX(D$8:D16)+1)</f>
        <v>0</v>
      </c>
      <c r="E17" s="105"/>
      <c r="F17" s="17"/>
      <c r="G17" s="18"/>
      <c r="H17" s="353"/>
      <c r="I17" s="17"/>
      <c r="J17" s="213"/>
      <c r="K17" s="339"/>
      <c r="L17" s="17"/>
      <c r="M17" s="213"/>
      <c r="N17" s="213"/>
      <c r="O17" s="213"/>
      <c r="P17" s="213"/>
      <c r="Q17" s="213"/>
      <c r="R17" s="213"/>
      <c r="S17" s="213"/>
      <c r="T17" s="213"/>
      <c r="U17" s="213"/>
      <c r="V17" s="213">
        <f>IF(AND(F17=0,I17=0,L17=0),0,1)</f>
        <v>0</v>
      </c>
      <c r="W17" s="339"/>
    </row>
    <row r="18" spans="1:23" ht="9" customHeight="1" hidden="1">
      <c r="A18" s="59"/>
      <c r="B18" s="59"/>
      <c r="C18" s="60"/>
      <c r="D18" s="106"/>
      <c r="E18" s="106"/>
      <c r="F18" s="19"/>
      <c r="G18" s="20"/>
      <c r="H18" s="354"/>
      <c r="I18" s="19"/>
      <c r="J18" s="213"/>
      <c r="K18" s="213"/>
      <c r="L18" s="19"/>
      <c r="M18" s="213"/>
      <c r="N18" s="213"/>
      <c r="O18" s="213"/>
      <c r="P18" s="213"/>
      <c r="Q18" s="213"/>
      <c r="R18" s="213"/>
      <c r="S18" s="213"/>
      <c r="T18" s="213"/>
      <c r="U18" s="213"/>
      <c r="V18" s="213">
        <f>IF(V19=0,0,1)</f>
        <v>0</v>
      </c>
      <c r="W18" s="213"/>
    </row>
    <row r="19" spans="1:23" ht="15" hidden="1">
      <c r="A19" s="55" t="s">
        <v>244</v>
      </c>
      <c r="B19" s="56"/>
      <c r="C19" s="104">
        <f>IF(AND(F19=0,I19=0,L19=0),"",CONCATENATE("1.",D19,"."))</f>
      </c>
      <c r="D19" s="105">
        <f>IF(AND(F19=0,I19=0,L19=0),0,MAX(D$8:D18)+1)</f>
        <v>0</v>
      </c>
      <c r="E19" s="105"/>
      <c r="F19" s="17"/>
      <c r="G19" s="18"/>
      <c r="H19" s="353"/>
      <c r="I19" s="17"/>
      <c r="J19" s="213"/>
      <c r="K19" s="339"/>
      <c r="L19" s="17"/>
      <c r="M19" s="213"/>
      <c r="N19" s="213"/>
      <c r="O19" s="213"/>
      <c r="P19" s="213"/>
      <c r="Q19" s="213"/>
      <c r="R19" s="213"/>
      <c r="S19" s="213"/>
      <c r="T19" s="213"/>
      <c r="U19" s="213"/>
      <c r="V19" s="213">
        <f>IF(AND(F19=0,I19=0,L19=0),0,1)</f>
        <v>0</v>
      </c>
      <c r="W19" s="339"/>
    </row>
    <row r="20" spans="1:23" ht="9" customHeight="1">
      <c r="A20" s="59"/>
      <c r="B20" s="59"/>
      <c r="C20" s="60"/>
      <c r="D20" s="106"/>
      <c r="E20" s="106"/>
      <c r="F20" s="19"/>
      <c r="G20" s="20"/>
      <c r="H20" s="354"/>
      <c r="I20" s="19"/>
      <c r="J20" s="213"/>
      <c r="K20" s="213"/>
      <c r="L20" s="19"/>
      <c r="M20" s="213"/>
      <c r="N20" s="213"/>
      <c r="O20" s="213"/>
      <c r="P20" s="213"/>
      <c r="Q20" s="213"/>
      <c r="R20" s="213"/>
      <c r="S20" s="213"/>
      <c r="T20" s="213"/>
      <c r="U20" s="213"/>
      <c r="V20" s="213">
        <f>IF(V21=0,0,1)</f>
        <v>1</v>
      </c>
      <c r="W20" s="213"/>
    </row>
    <row r="21" spans="1:23" ht="15">
      <c r="A21" s="55" t="s">
        <v>158</v>
      </c>
      <c r="B21" s="56"/>
      <c r="C21" s="104" t="str">
        <f>IF(AND(F21=0,I21=0,L21=0),"",CONCATENATE("1.",D21,"."))</f>
        <v>1.4.</v>
      </c>
      <c r="D21" s="105">
        <f>IF(AND(F21=0,I21=0,L21=0),0,MAX(D$8:D20)+1)</f>
        <v>4</v>
      </c>
      <c r="E21" s="105"/>
      <c r="F21" s="17">
        <v>329</v>
      </c>
      <c r="G21" s="18"/>
      <c r="H21" s="353"/>
      <c r="I21" s="17">
        <v>304</v>
      </c>
      <c r="J21" s="213"/>
      <c r="K21" s="339"/>
      <c r="L21" s="17"/>
      <c r="M21" s="213"/>
      <c r="N21" s="213"/>
      <c r="O21" s="213"/>
      <c r="P21" s="213"/>
      <c r="Q21" s="213"/>
      <c r="R21" s="213"/>
      <c r="S21" s="213"/>
      <c r="T21" s="213"/>
      <c r="U21" s="213"/>
      <c r="V21" s="213">
        <f>IF(AND(F21=0,I21=0,L21=0),0,1)</f>
        <v>1</v>
      </c>
      <c r="W21" s="339"/>
    </row>
    <row r="22" spans="1:23" ht="9" customHeight="1" hidden="1">
      <c r="A22" s="59"/>
      <c r="B22" s="59"/>
      <c r="C22" s="60"/>
      <c r="D22" s="106"/>
      <c r="E22" s="106"/>
      <c r="F22" s="21"/>
      <c r="G22" s="18"/>
      <c r="H22" s="353"/>
      <c r="I22" s="21"/>
      <c r="J22" s="213"/>
      <c r="K22" s="213"/>
      <c r="L22" s="21"/>
      <c r="M22" s="213"/>
      <c r="N22" s="213"/>
      <c r="O22" s="213"/>
      <c r="P22" s="213"/>
      <c r="Q22" s="213"/>
      <c r="R22" s="213"/>
      <c r="S22" s="213"/>
      <c r="T22" s="213"/>
      <c r="U22" s="213"/>
      <c r="V22" s="213">
        <f>IF(V23=0,0,1)</f>
        <v>0</v>
      </c>
      <c r="W22" s="213"/>
    </row>
    <row r="23" spans="1:23" ht="15" customHeight="1" hidden="1">
      <c r="A23" s="55" t="s">
        <v>245</v>
      </c>
      <c r="B23" s="59"/>
      <c r="C23" s="104">
        <f>IF(AND(F23=0,I23=0,L23=0),"",CONCATENATE("1.",D23,"."))</f>
      </c>
      <c r="D23" s="105">
        <f>IF(AND(F23=0,I23=0,L23=0),0,MAX(D$8:D22)+1)</f>
        <v>0</v>
      </c>
      <c r="E23" s="105"/>
      <c r="F23" s="17"/>
      <c r="G23" s="18"/>
      <c r="H23" s="353"/>
      <c r="I23" s="17"/>
      <c r="J23" s="213"/>
      <c r="K23" s="339"/>
      <c r="L23" s="17"/>
      <c r="M23" s="213"/>
      <c r="N23" s="213"/>
      <c r="O23" s="213"/>
      <c r="P23" s="213"/>
      <c r="Q23" s="213"/>
      <c r="R23" s="213"/>
      <c r="S23" s="213"/>
      <c r="T23" s="213"/>
      <c r="U23" s="213"/>
      <c r="V23" s="213">
        <f>IF(AND(F23=0,I23=0,L23=0),0,1)</f>
        <v>0</v>
      </c>
      <c r="W23" s="339"/>
    </row>
    <row r="24" spans="1:23" ht="9" customHeight="1">
      <c r="A24" s="46"/>
      <c r="B24" s="46"/>
      <c r="C24" s="60"/>
      <c r="D24" s="106"/>
      <c r="E24" s="106"/>
      <c r="F24" s="64"/>
      <c r="G24" s="58"/>
      <c r="H24" s="353"/>
      <c r="I24" s="63"/>
      <c r="J24" s="213"/>
      <c r="K24" s="213"/>
      <c r="L24" s="63"/>
      <c r="M24" s="213"/>
      <c r="N24" s="213"/>
      <c r="O24" s="213"/>
      <c r="P24" s="213"/>
      <c r="Q24" s="213"/>
      <c r="R24" s="213"/>
      <c r="S24" s="213"/>
      <c r="T24" s="213"/>
      <c r="U24" s="213"/>
      <c r="V24" s="213">
        <f>IF(V25=0,0,1)</f>
        <v>1</v>
      </c>
      <c r="W24" s="213"/>
    </row>
    <row r="25" spans="1:23" ht="15.75">
      <c r="A25" s="65" t="s">
        <v>243</v>
      </c>
      <c r="B25" s="66"/>
      <c r="C25" s="67"/>
      <c r="D25" s="106"/>
      <c r="E25" s="106"/>
      <c r="F25" s="68">
        <f>F9+F11+F13+F15+F17+F19+F21+F23</f>
        <v>59577</v>
      </c>
      <c r="G25" s="54"/>
      <c r="H25" s="355"/>
      <c r="I25" s="68">
        <f>I9+I11+I13+I15+I17+I19+I21+I23</f>
        <v>59728</v>
      </c>
      <c r="J25" s="213"/>
      <c r="K25" s="213"/>
      <c r="L25" s="68">
        <f>L9+L11+L13+L15+L17+L19+L21+L23</f>
        <v>0</v>
      </c>
      <c r="M25" s="213"/>
      <c r="N25" s="213"/>
      <c r="O25" s="213"/>
      <c r="P25" s="213"/>
      <c r="Q25" s="213"/>
      <c r="R25" s="213"/>
      <c r="S25" s="213"/>
      <c r="T25" s="213"/>
      <c r="U25" s="213"/>
      <c r="V25" s="213">
        <f>IF(AND(F25=0,I25=0,L25=0),0,1)</f>
        <v>1</v>
      </c>
      <c r="W25" s="213"/>
    </row>
    <row r="26" spans="1:23" ht="9" customHeight="1">
      <c r="A26" s="46"/>
      <c r="B26" s="46"/>
      <c r="C26" s="51"/>
      <c r="D26" s="106"/>
      <c r="E26" s="106"/>
      <c r="F26" s="69"/>
      <c r="G26" s="69"/>
      <c r="H26" s="356"/>
      <c r="I26" s="69"/>
      <c r="J26" s="213"/>
      <c r="K26" s="213"/>
      <c r="L26" s="69"/>
      <c r="M26" s="213"/>
      <c r="N26" s="213"/>
      <c r="O26" s="213"/>
      <c r="P26" s="213"/>
      <c r="Q26" s="213"/>
      <c r="R26" s="213"/>
      <c r="S26" s="213"/>
      <c r="T26" s="213"/>
      <c r="U26" s="213"/>
      <c r="V26" s="213">
        <f>IF(V27=0,0,1)</f>
        <v>1</v>
      </c>
      <c r="W26" s="213"/>
    </row>
    <row r="27" spans="1:23" ht="16.5" customHeight="1">
      <c r="A27" s="46" t="s">
        <v>154</v>
      </c>
      <c r="B27" s="46"/>
      <c r="C27" s="51"/>
      <c r="D27" s="106"/>
      <c r="E27" s="106"/>
      <c r="F27" s="69"/>
      <c r="G27" s="69"/>
      <c r="H27" s="356"/>
      <c r="I27" s="69"/>
      <c r="J27" s="213"/>
      <c r="K27" s="213"/>
      <c r="L27" s="69"/>
      <c r="M27" s="213"/>
      <c r="N27" s="213"/>
      <c r="O27" s="213"/>
      <c r="P27" s="213"/>
      <c r="Q27" s="213"/>
      <c r="R27" s="213"/>
      <c r="S27" s="213"/>
      <c r="T27" s="213"/>
      <c r="U27" s="213"/>
      <c r="V27" s="213">
        <f>IF(V41=0,0,1)</f>
        <v>1</v>
      </c>
      <c r="W27" s="213"/>
    </row>
    <row r="28" spans="1:23" ht="6.75" customHeight="1" hidden="1">
      <c r="A28" s="46"/>
      <c r="B28" s="46"/>
      <c r="C28" s="51"/>
      <c r="D28" s="52"/>
      <c r="E28" s="52"/>
      <c r="F28" s="53"/>
      <c r="G28" s="54"/>
      <c r="H28" s="355"/>
      <c r="I28" s="53"/>
      <c r="J28" s="213"/>
      <c r="K28" s="213"/>
      <c r="L28" s="53"/>
      <c r="M28" s="213"/>
      <c r="N28" s="213"/>
      <c r="O28" s="213"/>
      <c r="P28" s="213"/>
      <c r="Q28" s="213"/>
      <c r="R28" s="213"/>
      <c r="S28" s="213"/>
      <c r="T28" s="213"/>
      <c r="U28" s="213"/>
      <c r="V28" s="213">
        <f>IF(V29=0,0,1)</f>
        <v>0</v>
      </c>
      <c r="W28" s="213"/>
    </row>
    <row r="29" spans="1:23" ht="15" customHeight="1" hidden="1">
      <c r="A29" s="55" t="s">
        <v>254</v>
      </c>
      <c r="B29" s="56"/>
      <c r="C29" s="104">
        <f>IF(AND(F29=0,I29=0,L29=0),"",CONCATENATE("1.",D29,"."))</f>
      </c>
      <c r="D29" s="105">
        <f>IF(AND(F29=0,I29=0,L29=0),0,MAX(D$8:D28)+1)</f>
        <v>0</v>
      </c>
      <c r="E29" s="105"/>
      <c r="F29" s="17"/>
      <c r="G29" s="18"/>
      <c r="H29" s="353"/>
      <c r="I29" s="17"/>
      <c r="J29" s="213"/>
      <c r="K29" s="339"/>
      <c r="L29" s="17"/>
      <c r="M29" s="213"/>
      <c r="N29" s="213"/>
      <c r="O29" s="213"/>
      <c r="P29" s="213"/>
      <c r="Q29" s="213"/>
      <c r="R29" s="213"/>
      <c r="S29" s="213"/>
      <c r="T29" s="213"/>
      <c r="U29" s="213"/>
      <c r="V29" s="213">
        <f>IF(AND(F29=0,I29=0,L29=0),0,1)</f>
        <v>0</v>
      </c>
      <c r="W29" s="339"/>
    </row>
    <row r="30" spans="1:23" ht="9" customHeight="1" hidden="1">
      <c r="A30" s="59"/>
      <c r="B30" s="59"/>
      <c r="C30" s="60"/>
      <c r="D30" s="106"/>
      <c r="E30" s="106"/>
      <c r="F30" s="22"/>
      <c r="G30" s="22"/>
      <c r="H30" s="357"/>
      <c r="I30" s="22"/>
      <c r="J30" s="213"/>
      <c r="K30" s="213"/>
      <c r="L30" s="22"/>
      <c r="M30" s="213"/>
      <c r="N30" s="213"/>
      <c r="O30" s="213"/>
      <c r="P30" s="213"/>
      <c r="Q30" s="213"/>
      <c r="R30" s="213"/>
      <c r="S30" s="213"/>
      <c r="T30" s="213"/>
      <c r="U30" s="213"/>
      <c r="V30" s="213">
        <f>IF(V31=0,0,1)</f>
        <v>0</v>
      </c>
      <c r="W30" s="213"/>
    </row>
    <row r="31" spans="1:23" ht="15" hidden="1">
      <c r="A31" s="55" t="s">
        <v>145</v>
      </c>
      <c r="B31" s="56"/>
      <c r="C31" s="104">
        <f>IF(AND(F31=0,I31=0,L31=0),"",CONCATENATE("1.",D31,"."))</f>
      </c>
      <c r="D31" s="105">
        <f>IF(AND(F31=0,I31=0,L31=0),0,MAX(D$8:D30)+1)</f>
        <v>0</v>
      </c>
      <c r="E31" s="105"/>
      <c r="F31" s="17"/>
      <c r="G31" s="18"/>
      <c r="H31" s="353"/>
      <c r="I31" s="17"/>
      <c r="J31" s="213"/>
      <c r="K31" s="339"/>
      <c r="L31" s="17"/>
      <c r="M31" s="213"/>
      <c r="N31" s="213"/>
      <c r="O31" s="213"/>
      <c r="P31" s="213"/>
      <c r="Q31" s="213"/>
      <c r="R31" s="213"/>
      <c r="S31" s="213"/>
      <c r="T31" s="213"/>
      <c r="U31" s="213"/>
      <c r="V31" s="213">
        <f>IF(AND(F31=0,I31=0,L31=0),0,1)</f>
        <v>0</v>
      </c>
      <c r="W31" s="339"/>
    </row>
    <row r="32" spans="1:23" ht="9" customHeight="1">
      <c r="A32" s="59"/>
      <c r="B32" s="56"/>
      <c r="C32" s="60"/>
      <c r="D32" s="106"/>
      <c r="E32" s="106"/>
      <c r="F32" s="21"/>
      <c r="G32" s="18"/>
      <c r="H32" s="353"/>
      <c r="I32" s="21"/>
      <c r="J32" s="213"/>
      <c r="K32" s="213"/>
      <c r="L32" s="21"/>
      <c r="M32" s="213"/>
      <c r="N32" s="213"/>
      <c r="O32" s="213"/>
      <c r="P32" s="213"/>
      <c r="Q32" s="213"/>
      <c r="R32" s="213"/>
      <c r="S32" s="213"/>
      <c r="T32" s="213"/>
      <c r="U32" s="213"/>
      <c r="V32" s="213">
        <f>IF(V33=0,0,1)</f>
        <v>1</v>
      </c>
      <c r="W32" s="213"/>
    </row>
    <row r="33" spans="1:23" ht="15">
      <c r="A33" s="55" t="s">
        <v>246</v>
      </c>
      <c r="B33" s="56"/>
      <c r="C33" s="104" t="str">
        <f>IF(AND(F33=0,I33=0,L33=0),"",CONCATENATE("1.",D33,"."))</f>
        <v>1.5.</v>
      </c>
      <c r="D33" s="105">
        <f>IF(AND(F33=0,I33=0,L33=0),0,MAX(D$8:D32)+1)</f>
        <v>5</v>
      </c>
      <c r="E33" s="105"/>
      <c r="F33" s="17">
        <v>1765</v>
      </c>
      <c r="G33" s="18"/>
      <c r="H33" s="353"/>
      <c r="I33" s="17">
        <v>1762</v>
      </c>
      <c r="J33" s="213"/>
      <c r="K33" s="339"/>
      <c r="L33" s="17"/>
      <c r="M33" s="213"/>
      <c r="N33" s="213"/>
      <c r="O33" s="213"/>
      <c r="P33" s="213"/>
      <c r="Q33" s="213"/>
      <c r="R33" s="213"/>
      <c r="S33" s="213"/>
      <c r="T33" s="213"/>
      <c r="U33" s="213"/>
      <c r="V33" s="213">
        <f>IF(AND(F33=0,I33=0,L33=0),0,1)</f>
        <v>1</v>
      </c>
      <c r="W33" s="339"/>
    </row>
    <row r="34" spans="1:23" ht="9" customHeight="1" hidden="1">
      <c r="A34" s="59"/>
      <c r="B34" s="56"/>
      <c r="C34" s="60"/>
      <c r="D34" s="106"/>
      <c r="E34" s="106"/>
      <c r="F34" s="21"/>
      <c r="G34" s="18"/>
      <c r="H34" s="353"/>
      <c r="I34" s="21"/>
      <c r="J34" s="213"/>
      <c r="K34" s="213"/>
      <c r="L34" s="21"/>
      <c r="M34" s="213"/>
      <c r="N34" s="213"/>
      <c r="O34" s="213"/>
      <c r="P34" s="213"/>
      <c r="Q34" s="213"/>
      <c r="R34" s="213"/>
      <c r="S34" s="213"/>
      <c r="T34" s="213"/>
      <c r="U34" s="213"/>
      <c r="V34" s="213">
        <f>IF(V35=0,0,1)</f>
        <v>0</v>
      </c>
      <c r="W34" s="213"/>
    </row>
    <row r="35" spans="1:23" ht="15" hidden="1">
      <c r="A35" s="55" t="s">
        <v>248</v>
      </c>
      <c r="B35" s="56"/>
      <c r="C35" s="104">
        <f>IF(AND(F35=0,I35=0,L35=0),"",CONCATENATE("1.",D35,"."))</f>
      </c>
      <c r="D35" s="105">
        <f>IF(AND(F35=0,I35=0,L35=0),0,MAX(D$8:D34)+1)</f>
        <v>0</v>
      </c>
      <c r="E35" s="105"/>
      <c r="F35" s="17"/>
      <c r="G35" s="18"/>
      <c r="H35" s="353"/>
      <c r="I35" s="17"/>
      <c r="J35" s="213"/>
      <c r="K35" s="339"/>
      <c r="L35" s="17"/>
      <c r="M35" s="213"/>
      <c r="N35" s="213"/>
      <c r="O35" s="213"/>
      <c r="P35" s="213"/>
      <c r="Q35" s="213"/>
      <c r="R35" s="213"/>
      <c r="S35" s="213"/>
      <c r="T35" s="213"/>
      <c r="U35" s="213"/>
      <c r="V35" s="213">
        <f>IF(AND(F35=0,I35=0,L35=0),0,1)</f>
        <v>0</v>
      </c>
      <c r="W35" s="339"/>
    </row>
    <row r="36" spans="1:23" ht="9" customHeight="1">
      <c r="A36" s="59"/>
      <c r="B36" s="59"/>
      <c r="C36" s="60"/>
      <c r="D36" s="106"/>
      <c r="E36" s="106"/>
      <c r="F36" s="21"/>
      <c r="G36" s="18"/>
      <c r="H36" s="353"/>
      <c r="I36" s="21"/>
      <c r="J36" s="213"/>
      <c r="K36" s="213"/>
      <c r="L36" s="21"/>
      <c r="M36" s="213"/>
      <c r="N36" s="213"/>
      <c r="O36" s="213"/>
      <c r="P36" s="213"/>
      <c r="Q36" s="213"/>
      <c r="R36" s="213"/>
      <c r="S36" s="213"/>
      <c r="T36" s="213"/>
      <c r="U36" s="213"/>
      <c r="V36" s="213">
        <f>IF(V37=0,0,1)</f>
        <v>1</v>
      </c>
      <c r="W36" s="213"/>
    </row>
    <row r="37" spans="1:23" ht="15.75" customHeight="1">
      <c r="A37" s="55" t="s">
        <v>252</v>
      </c>
      <c r="B37" s="56"/>
      <c r="C37" s="104" t="str">
        <f>IF(AND(F37=0,I37=0,L37=0),"",CONCATENATE("1.",D37,"."))</f>
        <v>1.6.</v>
      </c>
      <c r="D37" s="105">
        <f>IF(AND(F37=0,I37=0,L37=0),0,MAX(D$8:D36)+1)</f>
        <v>6</v>
      </c>
      <c r="E37" s="105"/>
      <c r="F37" s="17">
        <v>13209</v>
      </c>
      <c r="G37" s="18"/>
      <c r="H37" s="353"/>
      <c r="I37" s="17">
        <v>13075</v>
      </c>
      <c r="J37" s="213"/>
      <c r="K37" s="339"/>
      <c r="L37" s="17"/>
      <c r="M37" s="213"/>
      <c r="N37" s="213"/>
      <c r="O37" s="213"/>
      <c r="P37" s="213"/>
      <c r="Q37" s="213"/>
      <c r="R37" s="213"/>
      <c r="S37" s="213"/>
      <c r="T37" s="213"/>
      <c r="U37" s="213"/>
      <c r="V37" s="213">
        <f>IF(AND(F37=0,I37=0,L37=0),0,1)</f>
        <v>1</v>
      </c>
      <c r="W37" s="339"/>
    </row>
    <row r="38" spans="1:23" ht="9" customHeight="1">
      <c r="A38" s="59"/>
      <c r="B38" s="59"/>
      <c r="C38" s="60"/>
      <c r="D38" s="106"/>
      <c r="E38" s="106"/>
      <c r="F38" s="21"/>
      <c r="G38" s="18"/>
      <c r="H38" s="353"/>
      <c r="I38" s="21"/>
      <c r="J38" s="213"/>
      <c r="K38" s="213"/>
      <c r="L38" s="21"/>
      <c r="M38" s="213"/>
      <c r="N38" s="213"/>
      <c r="O38" s="213"/>
      <c r="P38" s="213"/>
      <c r="Q38" s="213"/>
      <c r="R38" s="213"/>
      <c r="S38" s="213"/>
      <c r="T38" s="213"/>
      <c r="U38" s="213"/>
      <c r="V38" s="213">
        <f>IF(V39=0,0,1)</f>
        <v>1</v>
      </c>
      <c r="W38" s="213"/>
    </row>
    <row r="39" spans="1:23" ht="15">
      <c r="A39" s="55" t="s">
        <v>116</v>
      </c>
      <c r="B39" s="56"/>
      <c r="C39" s="104" t="str">
        <f>IF(AND(F39=0,I39=0,L39=0),"",CONCATENATE("1.",D39,"."))</f>
        <v>1.7.</v>
      </c>
      <c r="D39" s="105">
        <f>IF(AND(F39=0,I39=0,L39=0),0,MAX(D$8:D38)+1)</f>
        <v>7</v>
      </c>
      <c r="E39" s="105"/>
      <c r="F39" s="17">
        <v>22</v>
      </c>
      <c r="G39" s="18"/>
      <c r="H39" s="353"/>
      <c r="I39" s="17">
        <v>52</v>
      </c>
      <c r="J39" s="213"/>
      <c r="K39" s="339"/>
      <c r="L39" s="17"/>
      <c r="M39" s="213"/>
      <c r="N39" s="213"/>
      <c r="O39" s="213"/>
      <c r="P39" s="213"/>
      <c r="Q39" s="213"/>
      <c r="R39" s="213"/>
      <c r="S39" s="213"/>
      <c r="T39" s="213"/>
      <c r="U39" s="213"/>
      <c r="V39" s="213">
        <f>IF(AND(F39=0,I39=0,L39=0),0,1)</f>
        <v>1</v>
      </c>
      <c r="W39" s="339"/>
    </row>
    <row r="40" spans="1:23" ht="9" customHeight="1">
      <c r="A40" s="70"/>
      <c r="B40" s="70"/>
      <c r="C40" s="60"/>
      <c r="D40" s="106"/>
      <c r="E40" s="106"/>
      <c r="F40" s="64"/>
      <c r="G40" s="71"/>
      <c r="H40" s="358"/>
      <c r="I40" s="64"/>
      <c r="J40" s="213"/>
      <c r="K40" s="213"/>
      <c r="L40" s="64"/>
      <c r="M40" s="213"/>
      <c r="N40" s="213"/>
      <c r="O40" s="213"/>
      <c r="P40" s="213"/>
      <c r="Q40" s="213"/>
      <c r="R40" s="213"/>
      <c r="S40" s="213"/>
      <c r="T40" s="213"/>
      <c r="U40" s="213"/>
      <c r="V40" s="213">
        <f>IF(V41=0,0,1)</f>
        <v>1</v>
      </c>
      <c r="W40" s="213"/>
    </row>
    <row r="41" spans="1:23" ht="16.5" customHeight="1">
      <c r="A41" s="65" t="s">
        <v>242</v>
      </c>
      <c r="B41" s="66"/>
      <c r="C41" s="67"/>
      <c r="D41" s="106"/>
      <c r="E41" s="106"/>
      <c r="F41" s="68">
        <f>F29+F31+F33+F35+F37+F39</f>
        <v>14996</v>
      </c>
      <c r="G41" s="54"/>
      <c r="H41" s="355"/>
      <c r="I41" s="68">
        <f>I29+I31+I33+I35+I37+I39</f>
        <v>14889</v>
      </c>
      <c r="J41" s="213"/>
      <c r="K41" s="213"/>
      <c r="L41" s="68">
        <f>L29+L31+L33+L35+L37+L39</f>
        <v>0</v>
      </c>
      <c r="M41" s="213"/>
      <c r="N41" s="213"/>
      <c r="O41" s="213"/>
      <c r="P41" s="213"/>
      <c r="Q41" s="213"/>
      <c r="R41" s="213"/>
      <c r="S41" s="213"/>
      <c r="T41" s="213"/>
      <c r="U41" s="213"/>
      <c r="V41" s="213">
        <f>IF(AND(F41=0,I41=0,L41=0),0,1)</f>
        <v>1</v>
      </c>
      <c r="W41" s="213"/>
    </row>
    <row r="42" spans="1:23" ht="9" customHeight="1">
      <c r="A42" s="59"/>
      <c r="B42" s="59"/>
      <c r="C42" s="60"/>
      <c r="D42" s="106"/>
      <c r="E42" s="106"/>
      <c r="F42" s="63"/>
      <c r="G42" s="58"/>
      <c r="H42" s="353"/>
      <c r="I42" s="63"/>
      <c r="J42" s="213"/>
      <c r="K42" s="213"/>
      <c r="L42" s="63"/>
      <c r="M42" s="213"/>
      <c r="N42" s="213"/>
      <c r="O42" s="213"/>
      <c r="P42" s="213"/>
      <c r="Q42" s="213"/>
      <c r="R42" s="213"/>
      <c r="S42" s="213"/>
      <c r="T42" s="213"/>
      <c r="U42" s="213"/>
      <c r="V42" s="213">
        <v>2</v>
      </c>
      <c r="W42" s="213"/>
    </row>
    <row r="43" spans="1:23" ht="16.5" customHeight="1" thickBot="1">
      <c r="A43" s="72" t="s">
        <v>247</v>
      </c>
      <c r="B43" s="46"/>
      <c r="C43" s="73"/>
      <c r="D43" s="106"/>
      <c r="E43" s="106"/>
      <c r="F43" s="73">
        <f>F25+F41</f>
        <v>74573</v>
      </c>
      <c r="G43" s="69"/>
      <c r="H43" s="356"/>
      <c r="I43" s="73">
        <f>I25+I41</f>
        <v>74617</v>
      </c>
      <c r="J43" s="213"/>
      <c r="K43" s="213"/>
      <c r="L43" s="73">
        <f>L25+L41</f>
        <v>0</v>
      </c>
      <c r="M43" s="213"/>
      <c r="N43" s="213"/>
      <c r="O43" s="213"/>
      <c r="P43" s="213"/>
      <c r="Q43" s="213"/>
      <c r="R43" s="213"/>
      <c r="S43" s="213"/>
      <c r="T43" s="213"/>
      <c r="U43" s="213"/>
      <c r="V43" s="213">
        <v>2</v>
      </c>
      <c r="W43" s="213"/>
    </row>
    <row r="44" spans="1:23" ht="15.75" thickTop="1">
      <c r="A44" s="59"/>
      <c r="B44" s="59"/>
      <c r="C44" s="60"/>
      <c r="D44" s="52"/>
      <c r="E44" s="52"/>
      <c r="F44" s="61"/>
      <c r="G44" s="62"/>
      <c r="H44" s="354"/>
      <c r="I44" s="61"/>
      <c r="J44" s="213"/>
      <c r="K44" s="213"/>
      <c r="L44" s="213"/>
      <c r="M44" s="213"/>
      <c r="N44" s="213"/>
      <c r="O44" s="213"/>
      <c r="P44" s="213"/>
      <c r="Q44" s="213"/>
      <c r="R44" s="213"/>
      <c r="S44" s="213"/>
      <c r="T44" s="213"/>
      <c r="U44" s="213"/>
      <c r="V44" s="213">
        <v>2</v>
      </c>
      <c r="W44" s="213"/>
    </row>
    <row r="45" spans="1:23" ht="15">
      <c r="A45" s="370" t="s">
        <v>94</v>
      </c>
      <c r="B45" s="54"/>
      <c r="C45" s="60"/>
      <c r="D45" s="52"/>
      <c r="E45" s="52"/>
      <c r="F45" s="53"/>
      <c r="G45" s="54"/>
      <c r="H45" s="355"/>
      <c r="I45" s="53"/>
      <c r="J45" s="213"/>
      <c r="K45" s="213"/>
      <c r="L45" s="213"/>
      <c r="M45" s="213"/>
      <c r="N45" s="213"/>
      <c r="O45" s="213">
        <f>COUNTA(K9:K43,W9:W43)</f>
        <v>0</v>
      </c>
      <c r="P45" s="213"/>
      <c r="Q45" s="213"/>
      <c r="R45" s="213"/>
      <c r="S45" s="213"/>
      <c r="T45" s="213"/>
      <c r="U45" s="213"/>
      <c r="V45" s="213">
        <v>2</v>
      </c>
      <c r="W45" s="213"/>
    </row>
    <row r="46" spans="1:23" ht="15">
      <c r="A46" s="54"/>
      <c r="B46" s="54"/>
      <c r="C46" s="60"/>
      <c r="D46" s="52"/>
      <c r="E46" s="52"/>
      <c r="F46" s="53"/>
      <c r="G46" s="54"/>
      <c r="H46" s="355"/>
      <c r="I46" s="53"/>
      <c r="J46" s="213"/>
      <c r="K46" s="213"/>
      <c r="L46" s="213"/>
      <c r="M46" s="213"/>
      <c r="N46" s="213"/>
      <c r="O46" s="213"/>
      <c r="P46" s="213"/>
      <c r="Q46" s="213"/>
      <c r="R46" s="213"/>
      <c r="S46" s="213"/>
      <c r="T46" s="213"/>
      <c r="U46" s="213"/>
      <c r="V46" s="213">
        <v>2</v>
      </c>
      <c r="W46" s="213"/>
    </row>
    <row r="47" spans="1:23" ht="18" customHeight="1">
      <c r="A47" s="296" t="str">
        <f>A1</f>
        <v>ЖЕЛЕЗОПЪТНА ИНФРАСТРУКТУРА ХОЛДИНГОВО ДРУЖЕСТВО АД</v>
      </c>
      <c r="B47" s="296"/>
      <c r="C47" s="296"/>
      <c r="D47" s="296"/>
      <c r="E47" s="296"/>
      <c r="F47" s="296"/>
      <c r="G47" s="296"/>
      <c r="H47" s="359"/>
      <c r="I47" s="296"/>
      <c r="J47" s="213"/>
      <c r="K47" s="344"/>
      <c r="L47" s="344"/>
      <c r="M47" s="213"/>
      <c r="N47" s="213"/>
      <c r="O47" s="213"/>
      <c r="P47" s="213"/>
      <c r="Q47" s="213"/>
      <c r="R47" s="213"/>
      <c r="S47" s="213"/>
      <c r="T47" s="213"/>
      <c r="U47" s="213"/>
      <c r="V47" s="213">
        <v>2</v>
      </c>
      <c r="W47" s="213"/>
    </row>
    <row r="48" spans="1:23" ht="15">
      <c r="A48" s="301" t="str">
        <f>CONCATENATE(A2," - продължение")</f>
        <v>ОТЧЕТ ЗА ФИНАНСОВОТО СЪСТОЯНИЕ към 31.12.2009 година - продължение</v>
      </c>
      <c r="B48" s="301"/>
      <c r="C48" s="301"/>
      <c r="D48" s="301"/>
      <c r="E48" s="301"/>
      <c r="F48" s="301"/>
      <c r="G48" s="301"/>
      <c r="H48" s="360"/>
      <c r="I48" s="301"/>
      <c r="J48" s="213"/>
      <c r="K48" s="213"/>
      <c r="L48" s="213"/>
      <c r="M48" s="213"/>
      <c r="N48" s="213"/>
      <c r="O48" s="213"/>
      <c r="P48" s="213"/>
      <c r="Q48" s="213"/>
      <c r="R48" s="213"/>
      <c r="S48" s="213"/>
      <c r="T48" s="213"/>
      <c r="U48" s="213"/>
      <c r="V48" s="213">
        <v>2</v>
      </c>
      <c r="W48" s="213"/>
    </row>
    <row r="49" spans="1:23" ht="15">
      <c r="A49" s="59"/>
      <c r="B49" s="59"/>
      <c r="C49" s="60"/>
      <c r="D49" s="52"/>
      <c r="E49" s="52"/>
      <c r="F49" s="53"/>
      <c r="G49" s="54"/>
      <c r="H49" s="355"/>
      <c r="I49" s="53"/>
      <c r="J49" s="213"/>
      <c r="K49" s="213"/>
      <c r="L49" s="213"/>
      <c r="M49" s="213"/>
      <c r="N49" s="213"/>
      <c r="O49" s="213"/>
      <c r="P49" s="213"/>
      <c r="Q49" s="213"/>
      <c r="R49" s="213"/>
      <c r="S49" s="213"/>
      <c r="T49" s="213"/>
      <c r="U49" s="213"/>
      <c r="V49" s="213">
        <v>2</v>
      </c>
      <c r="W49" s="213"/>
    </row>
    <row r="50" spans="1:23" ht="15">
      <c r="A50" s="42"/>
      <c r="B50" s="42"/>
      <c r="C50" s="43" t="s">
        <v>131</v>
      </c>
      <c r="D50" s="39"/>
      <c r="E50" s="39"/>
      <c r="F50" s="44">
        <f>F4</f>
        <v>40178</v>
      </c>
      <c r="G50" s="45"/>
      <c r="H50" s="361"/>
      <c r="I50" s="44" t="str">
        <f>I4</f>
        <v>31.12.2008 г.</v>
      </c>
      <c r="J50" s="213"/>
      <c r="K50" s="213"/>
      <c r="L50" s="44" t="str">
        <f>L4</f>
        <v>1.01.2008 г.</v>
      </c>
      <c r="M50" s="213"/>
      <c r="N50" s="213"/>
      <c r="O50" s="213"/>
      <c r="P50" s="213"/>
      <c r="Q50" s="213"/>
      <c r="R50" s="213"/>
      <c r="S50" s="213"/>
      <c r="T50" s="213"/>
      <c r="U50" s="213"/>
      <c r="V50" s="213">
        <v>2</v>
      </c>
      <c r="W50" s="213"/>
    </row>
    <row r="51" spans="1:23" ht="15">
      <c r="A51" s="46" t="s">
        <v>48</v>
      </c>
      <c r="B51" s="46"/>
      <c r="C51" s="40"/>
      <c r="D51" s="39"/>
      <c r="E51" s="39"/>
      <c r="F51" s="47" t="s">
        <v>141</v>
      </c>
      <c r="G51" s="48"/>
      <c r="H51" s="362"/>
      <c r="I51" s="47" t="s">
        <v>141</v>
      </c>
      <c r="J51" s="213"/>
      <c r="K51" s="213"/>
      <c r="L51" s="47" t="s">
        <v>141</v>
      </c>
      <c r="M51" s="213"/>
      <c r="N51" s="213"/>
      <c r="O51" s="213"/>
      <c r="P51" s="213"/>
      <c r="Q51" s="213"/>
      <c r="R51" s="213"/>
      <c r="S51" s="213"/>
      <c r="T51" s="213"/>
      <c r="U51" s="213"/>
      <c r="V51" s="213">
        <v>2</v>
      </c>
      <c r="W51" s="213"/>
    </row>
    <row r="52" spans="1:23" ht="9" customHeight="1">
      <c r="A52" s="49"/>
      <c r="B52" s="49"/>
      <c r="C52" s="40"/>
      <c r="D52" s="39"/>
      <c r="E52" s="39"/>
      <c r="F52" s="47"/>
      <c r="G52" s="48"/>
      <c r="H52" s="362"/>
      <c r="I52" s="47"/>
      <c r="J52" s="213"/>
      <c r="K52" s="213"/>
      <c r="L52" s="213"/>
      <c r="M52" s="213"/>
      <c r="N52" s="213"/>
      <c r="O52" s="213"/>
      <c r="P52" s="213"/>
      <c r="Q52" s="213"/>
      <c r="R52" s="213"/>
      <c r="S52" s="213"/>
      <c r="T52" s="213"/>
      <c r="U52" s="213"/>
      <c r="V52" s="213">
        <f>IF(V53=0,0,1)</f>
        <v>1</v>
      </c>
      <c r="W52" s="213"/>
    </row>
    <row r="53" spans="1:23" ht="15" customHeight="1">
      <c r="A53" s="46" t="s">
        <v>146</v>
      </c>
      <c r="B53" s="74"/>
      <c r="C53" s="69" t="s">
        <v>152</v>
      </c>
      <c r="D53" s="75"/>
      <c r="E53" s="75"/>
      <c r="F53" s="69"/>
      <c r="G53" s="76"/>
      <c r="H53" s="363"/>
      <c r="I53" s="69"/>
      <c r="J53" s="213"/>
      <c r="K53" s="213"/>
      <c r="L53" s="213"/>
      <c r="M53" s="213"/>
      <c r="N53" s="213"/>
      <c r="O53" s="213"/>
      <c r="P53" s="213"/>
      <c r="Q53" s="213"/>
      <c r="R53" s="213"/>
      <c r="S53" s="213"/>
      <c r="T53" s="213"/>
      <c r="U53" s="213"/>
      <c r="V53" s="213">
        <f>IF(V76=0,0,1)</f>
        <v>1</v>
      </c>
      <c r="W53" s="213"/>
    </row>
    <row r="54" spans="1:23" ht="6.75" customHeight="1">
      <c r="A54" s="46"/>
      <c r="B54" s="46"/>
      <c r="C54" s="51"/>
      <c r="D54" s="52"/>
      <c r="E54" s="52"/>
      <c r="F54" s="53"/>
      <c r="G54" s="54"/>
      <c r="H54" s="355"/>
      <c r="I54" s="53"/>
      <c r="J54" s="213"/>
      <c r="K54" s="213"/>
      <c r="L54" s="213"/>
      <c r="M54" s="213"/>
      <c r="N54" s="213"/>
      <c r="O54" s="213"/>
      <c r="P54" s="213"/>
      <c r="Q54" s="213"/>
      <c r="R54" s="213"/>
      <c r="S54" s="213"/>
      <c r="T54" s="213"/>
      <c r="U54" s="213"/>
      <c r="V54" s="213">
        <f>IF(V55=0,0,1)</f>
        <v>1</v>
      </c>
      <c r="W54" s="213"/>
    </row>
    <row r="55" spans="1:23" ht="15">
      <c r="A55" s="77" t="s">
        <v>147</v>
      </c>
      <c r="B55" s="46"/>
      <c r="C55" s="104" t="str">
        <f>IF(AND(F55=0,I55=0,L55=0),"",CONCATENATE("1.",D55,".",G55,"."))</f>
        <v>1.8.1.</v>
      </c>
      <c r="D55" s="105">
        <f>IF(AND(F55=0,I55=0,L55=0),0,MAX(D$8:D54)+1)</f>
        <v>8</v>
      </c>
      <c r="E55" s="105"/>
      <c r="F55" s="78">
        <f>SUM(F56:F58)</f>
        <v>58363</v>
      </c>
      <c r="G55" s="105">
        <f>IF(AND(F55=0,I55=0,L55=0),0,MAX(G$54:G54)+1)</f>
        <v>1</v>
      </c>
      <c r="H55" s="105"/>
      <c r="I55" s="78">
        <f>SUM(I56:I58)</f>
        <v>58363</v>
      </c>
      <c r="J55" s="213"/>
      <c r="K55" s="339"/>
      <c r="L55" s="78">
        <f>SUM(L56:L58)</f>
        <v>0</v>
      </c>
      <c r="M55" s="213"/>
      <c r="N55" s="213"/>
      <c r="O55" s="213"/>
      <c r="P55" s="213"/>
      <c r="Q55" s="213"/>
      <c r="R55" s="213"/>
      <c r="S55" s="213"/>
      <c r="T55" s="213"/>
      <c r="U55" s="213"/>
      <c r="V55" s="213">
        <f>IF(AND(F55=0,I55=0,L55=0),0,1)</f>
        <v>1</v>
      </c>
      <c r="W55" s="339"/>
    </row>
    <row r="56" spans="1:23" ht="15">
      <c r="A56" s="79" t="s">
        <v>185</v>
      </c>
      <c r="B56" s="46"/>
      <c r="C56" s="80"/>
      <c r="D56" s="106"/>
      <c r="E56" s="106"/>
      <c r="F56" s="23">
        <v>58363</v>
      </c>
      <c r="G56" s="108"/>
      <c r="H56" s="105"/>
      <c r="I56" s="23">
        <v>58363</v>
      </c>
      <c r="J56" s="213"/>
      <c r="K56" s="339"/>
      <c r="L56" s="23"/>
      <c r="M56" s="213"/>
      <c r="N56" s="213"/>
      <c r="O56" s="213"/>
      <c r="P56" s="213"/>
      <c r="Q56" s="213"/>
      <c r="R56" s="213"/>
      <c r="S56" s="213"/>
      <c r="T56" s="213"/>
      <c r="U56" s="213"/>
      <c r="V56" s="213">
        <f>IF(AND(F56=0,I56=0,L56=0),0,1)</f>
        <v>1</v>
      </c>
      <c r="W56" s="339"/>
    </row>
    <row r="57" spans="1:23" ht="15" hidden="1">
      <c r="A57" s="59" t="s">
        <v>186</v>
      </c>
      <c r="B57" s="46"/>
      <c r="C57" s="80"/>
      <c r="D57" s="106"/>
      <c r="E57" s="106"/>
      <c r="F57" s="23"/>
      <c r="G57" s="108"/>
      <c r="H57" s="105"/>
      <c r="I57" s="23"/>
      <c r="J57" s="213"/>
      <c r="K57" s="213"/>
      <c r="L57" s="23"/>
      <c r="M57" s="213"/>
      <c r="N57" s="213"/>
      <c r="O57" s="213"/>
      <c r="P57" s="213"/>
      <c r="Q57" s="213"/>
      <c r="R57" s="213"/>
      <c r="S57" s="213"/>
      <c r="T57" s="213"/>
      <c r="U57" s="213"/>
      <c r="V57" s="213">
        <f>IF(AND(F57=0,I57=0,L57=0),0,1)</f>
        <v>0</v>
      </c>
      <c r="W57" s="213"/>
    </row>
    <row r="58" spans="1:23" ht="15" hidden="1">
      <c r="A58" s="59" t="s">
        <v>187</v>
      </c>
      <c r="B58" s="46"/>
      <c r="C58" s="80"/>
      <c r="D58" s="106"/>
      <c r="E58" s="106"/>
      <c r="F58" s="23"/>
      <c r="G58" s="108"/>
      <c r="H58" s="105"/>
      <c r="I58" s="23"/>
      <c r="J58" s="213"/>
      <c r="K58" s="213"/>
      <c r="L58" s="23"/>
      <c r="M58" s="213"/>
      <c r="N58" s="213"/>
      <c r="O58" s="213"/>
      <c r="P58" s="213"/>
      <c r="Q58" s="213"/>
      <c r="R58" s="213"/>
      <c r="S58" s="213"/>
      <c r="T58" s="213"/>
      <c r="U58" s="213"/>
      <c r="V58" s="213">
        <f>IF(AND(F58=0,I58=0,L58=0),0,1)</f>
        <v>0</v>
      </c>
      <c r="W58" s="213"/>
    </row>
    <row r="59" spans="1:23" ht="8.25" customHeight="1">
      <c r="A59" s="46"/>
      <c r="B59" s="46"/>
      <c r="C59" s="60"/>
      <c r="D59" s="106"/>
      <c r="E59" s="106"/>
      <c r="F59" s="81"/>
      <c r="G59" s="105"/>
      <c r="H59" s="105"/>
      <c r="I59" s="81"/>
      <c r="J59" s="213"/>
      <c r="K59" s="213"/>
      <c r="L59" s="81"/>
      <c r="M59" s="213"/>
      <c r="N59" s="213"/>
      <c r="O59" s="213"/>
      <c r="P59" s="213"/>
      <c r="Q59" s="213"/>
      <c r="R59" s="213"/>
      <c r="S59" s="213"/>
      <c r="T59" s="213"/>
      <c r="U59" s="213"/>
      <c r="V59" s="213">
        <f>IF(V60=0,0,1)</f>
        <v>1</v>
      </c>
      <c r="W59" s="213"/>
    </row>
    <row r="60" spans="1:23" ht="15" customHeight="1">
      <c r="A60" s="77" t="s">
        <v>255</v>
      </c>
      <c r="B60" s="46"/>
      <c r="C60" s="104" t="str">
        <f>IF(AND(F60=0,I60=0,L60=0),"",CONCATENATE("1.",D60,".",G60,"."))</f>
        <v>1.8.2.</v>
      </c>
      <c r="D60" s="105">
        <f>IF(AND(F60=0,I60=0,L60=0),0,MAX(D$8:D54)+1)</f>
        <v>8</v>
      </c>
      <c r="E60" s="105"/>
      <c r="F60" s="25">
        <v>10072</v>
      </c>
      <c r="G60" s="105">
        <f>IF(AND(F60=0,I60=0,L60=0),0,MAX(G$54:G59)+1)</f>
        <v>2</v>
      </c>
      <c r="H60" s="105"/>
      <c r="I60" s="25">
        <v>10072</v>
      </c>
      <c r="J60" s="213"/>
      <c r="K60" s="339"/>
      <c r="L60" s="25"/>
      <c r="M60" s="213"/>
      <c r="N60" s="213"/>
      <c r="O60" s="213"/>
      <c r="P60" s="213"/>
      <c r="Q60" s="213"/>
      <c r="R60" s="213"/>
      <c r="S60" s="213"/>
      <c r="T60" s="213"/>
      <c r="U60" s="213"/>
      <c r="V60" s="213">
        <f>IF(AND(F60=0,I60=0,L60=0),0,1)</f>
        <v>1</v>
      </c>
      <c r="W60" s="339"/>
    </row>
    <row r="61" spans="1:23" ht="9" customHeight="1" hidden="1">
      <c r="A61" s="46"/>
      <c r="B61" s="46"/>
      <c r="C61" s="60"/>
      <c r="D61" s="106"/>
      <c r="E61" s="106"/>
      <c r="F61" s="81"/>
      <c r="G61" s="105"/>
      <c r="H61" s="105"/>
      <c r="I61" s="81"/>
      <c r="J61" s="213"/>
      <c r="K61" s="213"/>
      <c r="L61" s="81"/>
      <c r="M61" s="213"/>
      <c r="N61" s="213"/>
      <c r="O61" s="213"/>
      <c r="P61" s="213"/>
      <c r="Q61" s="213"/>
      <c r="R61" s="213"/>
      <c r="S61" s="213"/>
      <c r="T61" s="213"/>
      <c r="U61" s="213"/>
      <c r="V61" s="213">
        <f>IF(V62=0,0,1)</f>
        <v>0</v>
      </c>
      <c r="W61" s="213"/>
    </row>
    <row r="62" spans="1:23" ht="15" hidden="1">
      <c r="A62" s="77" t="s">
        <v>127</v>
      </c>
      <c r="B62" s="46"/>
      <c r="C62" s="104">
        <f>IF(AND(F62=0,I62=0,L62=0),"",CONCATENATE("1.",D62,".",G62,"."))</f>
      </c>
      <c r="D62" s="105">
        <f>IF(AND(F62=0,I62=0,L62=0),0,MAX(D$8:D50)+1)</f>
        <v>0</v>
      </c>
      <c r="E62" s="105"/>
      <c r="F62" s="26"/>
      <c r="G62" s="105">
        <f>IF(AND(F62=0,I62=0,L62=0),0,MAX(G$54:G61)+1)</f>
        <v>0</v>
      </c>
      <c r="H62" s="105"/>
      <c r="I62" s="26"/>
      <c r="J62" s="213"/>
      <c r="K62" s="339"/>
      <c r="L62" s="26"/>
      <c r="M62" s="213"/>
      <c r="N62" s="213"/>
      <c r="O62" s="213"/>
      <c r="P62" s="213"/>
      <c r="Q62" s="213"/>
      <c r="R62" s="213"/>
      <c r="S62" s="213"/>
      <c r="T62" s="213"/>
      <c r="U62" s="213"/>
      <c r="V62" s="213">
        <f>IF(AND(F62=0,I62=0,L62=0),0,1)</f>
        <v>0</v>
      </c>
      <c r="W62" s="339"/>
    </row>
    <row r="63" spans="1:23" ht="9" customHeight="1" hidden="1">
      <c r="A63" s="46"/>
      <c r="B63" s="46"/>
      <c r="C63" s="60"/>
      <c r="D63" s="106"/>
      <c r="E63" s="106"/>
      <c r="F63" s="81"/>
      <c r="G63" s="105"/>
      <c r="H63" s="105"/>
      <c r="I63" s="81"/>
      <c r="J63" s="213"/>
      <c r="K63" s="213"/>
      <c r="L63" s="81"/>
      <c r="M63" s="213"/>
      <c r="N63" s="213"/>
      <c r="O63" s="213"/>
      <c r="P63" s="213"/>
      <c r="Q63" s="213"/>
      <c r="R63" s="213"/>
      <c r="S63" s="213"/>
      <c r="T63" s="213"/>
      <c r="U63" s="213"/>
      <c r="V63" s="213">
        <f>IF(V64=0,0,1)</f>
        <v>0</v>
      </c>
      <c r="W63" s="213"/>
    </row>
    <row r="64" spans="1:23" ht="15" hidden="1">
      <c r="A64" s="77" t="s">
        <v>58</v>
      </c>
      <c r="B64" s="46"/>
      <c r="C64" s="104">
        <f>IF(AND(F64=0,I64=0,L64=0),"",CONCATENATE("1.",D64,".",G64,"."))</f>
      </c>
      <c r="D64" s="105">
        <f>IF(AND(F64=0,I64=0,L64=0),0,MAX(D$8:D52)+1)</f>
        <v>0</v>
      </c>
      <c r="E64" s="105"/>
      <c r="F64" s="26"/>
      <c r="G64" s="105">
        <f>IF(AND(F64=0,I64=0,L64=0),0,MAX(G$54:G63)+1)</f>
        <v>0</v>
      </c>
      <c r="H64" s="105"/>
      <c r="I64" s="26"/>
      <c r="J64" s="213"/>
      <c r="K64" s="339"/>
      <c r="L64" s="26"/>
      <c r="M64" s="213"/>
      <c r="N64" s="213"/>
      <c r="O64" s="213"/>
      <c r="P64" s="213"/>
      <c r="Q64" s="213"/>
      <c r="R64" s="213"/>
      <c r="S64" s="213"/>
      <c r="T64" s="213"/>
      <c r="U64" s="213"/>
      <c r="V64" s="213">
        <f>IF(AND(F64=0,I64=0,L64=0),0,1)</f>
        <v>0</v>
      </c>
      <c r="W64" s="339"/>
    </row>
    <row r="65" spans="1:23" ht="9" customHeight="1" hidden="1">
      <c r="A65" s="46"/>
      <c r="B65" s="46"/>
      <c r="C65" s="60"/>
      <c r="D65" s="106"/>
      <c r="E65" s="106"/>
      <c r="F65" s="81"/>
      <c r="G65" s="105"/>
      <c r="H65" s="105"/>
      <c r="I65" s="81"/>
      <c r="J65" s="213"/>
      <c r="K65" s="213"/>
      <c r="L65" s="81"/>
      <c r="M65" s="213"/>
      <c r="N65" s="213"/>
      <c r="O65" s="213"/>
      <c r="P65" s="213"/>
      <c r="Q65" s="213"/>
      <c r="R65" s="213"/>
      <c r="S65" s="213"/>
      <c r="T65" s="213"/>
      <c r="U65" s="213"/>
      <c r="V65" s="213">
        <f>IF(V66=0,0,1)</f>
        <v>0</v>
      </c>
      <c r="W65" s="213"/>
    </row>
    <row r="66" spans="1:23" ht="15" hidden="1">
      <c r="A66" s="77" t="s">
        <v>149</v>
      </c>
      <c r="B66" s="46"/>
      <c r="C66" s="104">
        <f>IF(AND(F66=0,I66=0,L66=0),"",CONCATENATE("1.",D66,".",G66,"."))</f>
      </c>
      <c r="D66" s="105">
        <f>IF(AND(F66=0,I66=0,L66=0),0,MAX(D$8:D54)+1)</f>
        <v>0</v>
      </c>
      <c r="E66" s="105"/>
      <c r="F66" s="26"/>
      <c r="G66" s="105">
        <f>IF(AND(F66=0,I66=0,L66=0),0,MAX(G$54:G65)+1)</f>
        <v>0</v>
      </c>
      <c r="H66" s="105"/>
      <c r="I66" s="26"/>
      <c r="J66" s="213"/>
      <c r="K66" s="339"/>
      <c r="L66" s="26"/>
      <c r="M66" s="213"/>
      <c r="N66" s="213"/>
      <c r="O66" s="213"/>
      <c r="P66" s="213"/>
      <c r="Q66" s="213"/>
      <c r="R66" s="213"/>
      <c r="S66" s="213"/>
      <c r="T66" s="213"/>
      <c r="U66" s="213"/>
      <c r="V66" s="213">
        <f>IF(AND(F66=0,I66=0,L66=0),0,1)</f>
        <v>0</v>
      </c>
      <c r="W66" s="339"/>
    </row>
    <row r="67" spans="1:23" ht="8.25" customHeight="1">
      <c r="A67" s="59"/>
      <c r="B67" s="59"/>
      <c r="C67" s="60"/>
      <c r="D67" s="106"/>
      <c r="E67" s="106"/>
      <c r="F67" s="81"/>
      <c r="G67" s="105"/>
      <c r="H67" s="105"/>
      <c r="I67" s="81"/>
      <c r="J67" s="213"/>
      <c r="K67" s="213"/>
      <c r="L67" s="81"/>
      <c r="M67" s="213"/>
      <c r="N67" s="213"/>
      <c r="O67" s="213"/>
      <c r="P67" s="213"/>
      <c r="Q67" s="213"/>
      <c r="R67" s="213"/>
      <c r="S67" s="213"/>
      <c r="T67" s="213"/>
      <c r="U67" s="213"/>
      <c r="V67" s="213">
        <f>IF(V68=0,0,1)</f>
        <v>1</v>
      </c>
      <c r="W67" s="213"/>
    </row>
    <row r="68" spans="1:23" ht="15">
      <c r="A68" s="77" t="s">
        <v>150</v>
      </c>
      <c r="B68" s="46"/>
      <c r="C68" s="104" t="str">
        <f>IF(AND(F68=0,I68=0,L68=0),"",CONCATENATE("1.",D68,".",G68,"."))</f>
        <v>1.8.3.</v>
      </c>
      <c r="D68" s="105">
        <f>IF(AND(F68=0,I68=0,L68=0),0,MAX(D$8:D54)+1)</f>
        <v>8</v>
      </c>
      <c r="E68" s="105"/>
      <c r="F68" s="78">
        <f>SUM(F69:F70)</f>
        <v>-3916</v>
      </c>
      <c r="G68" s="105">
        <f>IF(AND(F68=0,I68=0,L68=0),0,MAX(G$54:G67)+1)</f>
        <v>3</v>
      </c>
      <c r="H68" s="105"/>
      <c r="I68" s="78">
        <f>SUM(I69:I70)</f>
        <v>-3497</v>
      </c>
      <c r="J68" s="213"/>
      <c r="K68" s="339"/>
      <c r="L68" s="78">
        <f>SUM(L69:L70)</f>
        <v>0</v>
      </c>
      <c r="M68" s="213"/>
      <c r="N68" s="213"/>
      <c r="O68" s="213"/>
      <c r="P68" s="213"/>
      <c r="Q68" s="213"/>
      <c r="R68" s="213"/>
      <c r="S68" s="213"/>
      <c r="T68" s="213"/>
      <c r="U68" s="213"/>
      <c r="V68" s="213">
        <f>IF(AND(F68=0,I68=0,L68=0,V69=0,V70=0),0,1)</f>
        <v>1</v>
      </c>
      <c r="W68" s="339"/>
    </row>
    <row r="69" spans="1:23" ht="15">
      <c r="A69" s="82" t="s">
        <v>202</v>
      </c>
      <c r="B69" s="82"/>
      <c r="C69" s="60"/>
      <c r="D69" s="106"/>
      <c r="E69" s="106"/>
      <c r="F69" s="24">
        <v>-3497</v>
      </c>
      <c r="G69" s="27"/>
      <c r="H69" s="364"/>
      <c r="I69" s="24">
        <v>-2656</v>
      </c>
      <c r="J69" s="213"/>
      <c r="K69" s="339"/>
      <c r="L69" s="24"/>
      <c r="M69" s="213"/>
      <c r="N69" s="213"/>
      <c r="O69" s="213"/>
      <c r="P69" s="213"/>
      <c r="Q69" s="213"/>
      <c r="R69" s="213"/>
      <c r="S69" s="213"/>
      <c r="T69" s="213"/>
      <c r="U69" s="213"/>
      <c r="V69" s="213">
        <f>IF(AND(F69=0,I69=0,L69=0),0,1)</f>
        <v>1</v>
      </c>
      <c r="W69" s="339"/>
    </row>
    <row r="70" spans="1:23" ht="15">
      <c r="A70" s="59" t="s">
        <v>184</v>
      </c>
      <c r="B70" s="59"/>
      <c r="C70" s="60"/>
      <c r="D70" s="106"/>
      <c r="E70" s="106"/>
      <c r="F70" s="23">
        <v>-419</v>
      </c>
      <c r="G70" s="23"/>
      <c r="H70" s="365"/>
      <c r="I70" s="23">
        <v>-841</v>
      </c>
      <c r="J70" s="213"/>
      <c r="K70" s="339"/>
      <c r="L70" s="23"/>
      <c r="M70" s="213"/>
      <c r="N70" s="213"/>
      <c r="O70" s="213"/>
      <c r="P70" s="213"/>
      <c r="Q70" s="213"/>
      <c r="R70" s="213"/>
      <c r="S70" s="213"/>
      <c r="T70" s="213"/>
      <c r="U70" s="213"/>
      <c r="V70" s="213">
        <f>IF(AND(F70=0,I70=0,L70=0),0,1)</f>
        <v>1</v>
      </c>
      <c r="W70" s="339"/>
    </row>
    <row r="71" spans="1:23" ht="8.25" customHeight="1">
      <c r="A71" s="59"/>
      <c r="B71" s="59"/>
      <c r="C71" s="60"/>
      <c r="D71" s="106"/>
      <c r="E71" s="106"/>
      <c r="F71" s="76"/>
      <c r="G71" s="76"/>
      <c r="H71" s="363"/>
      <c r="I71" s="76"/>
      <c r="J71" s="213"/>
      <c r="K71" s="213"/>
      <c r="L71" s="76"/>
      <c r="M71" s="213"/>
      <c r="N71" s="213"/>
      <c r="O71" s="213"/>
      <c r="P71" s="213"/>
      <c r="Q71" s="213"/>
      <c r="R71" s="213"/>
      <c r="S71" s="213"/>
      <c r="T71" s="213"/>
      <c r="U71" s="213"/>
      <c r="V71" s="213">
        <f>IF(V72=0,0,V72)</f>
        <v>4</v>
      </c>
      <c r="W71" s="213"/>
    </row>
    <row r="72" spans="1:23" ht="16.5" customHeight="1">
      <c r="A72" s="163" t="s">
        <v>258</v>
      </c>
      <c r="B72" s="46"/>
      <c r="C72" s="83" t="s">
        <v>152</v>
      </c>
      <c r="D72" s="106"/>
      <c r="E72" s="106"/>
      <c r="F72" s="83">
        <f>F55+F60+F62+F64+F66+F68</f>
        <v>64519</v>
      </c>
      <c r="G72" s="76"/>
      <c r="H72" s="363"/>
      <c r="I72" s="83">
        <f>I55+I60+I62+I64+I66+I68</f>
        <v>64938</v>
      </c>
      <c r="J72" s="213"/>
      <c r="K72" s="213"/>
      <c r="L72" s="83">
        <f>L55+L60+L62+L64+L66+L68</f>
        <v>0</v>
      </c>
      <c r="M72" s="213"/>
      <c r="N72" s="213"/>
      <c r="O72" s="213"/>
      <c r="P72" s="213"/>
      <c r="Q72" s="213"/>
      <c r="R72" s="213"/>
      <c r="S72" s="213"/>
      <c r="T72" s="213"/>
      <c r="U72" s="213"/>
      <c r="V72" s="213">
        <f>IF(НАЧАЛО!O34="КК",IF(AND(F72=0,I72=0,L72=0),0,1),4)</f>
        <v>4</v>
      </c>
      <c r="W72" s="213"/>
    </row>
    <row r="73" spans="1:23" ht="8.25" customHeight="1" hidden="1">
      <c r="A73" s="59"/>
      <c r="B73" s="59"/>
      <c r="C73" s="60"/>
      <c r="D73" s="106"/>
      <c r="E73" s="106"/>
      <c r="F73" s="76"/>
      <c r="G73" s="76"/>
      <c r="H73" s="363"/>
      <c r="I73" s="76"/>
      <c r="J73" s="213"/>
      <c r="K73" s="213"/>
      <c r="L73" s="76"/>
      <c r="M73" s="213"/>
      <c r="N73" s="213"/>
      <c r="O73" s="213"/>
      <c r="P73" s="213"/>
      <c r="Q73" s="213"/>
      <c r="R73" s="213"/>
      <c r="S73" s="213"/>
      <c r="T73" s="213"/>
      <c r="U73" s="213"/>
      <c r="V73" s="213">
        <f>IF(V74=0,0,V74)</f>
        <v>4</v>
      </c>
      <c r="W73" s="213"/>
    </row>
    <row r="74" spans="1:23" ht="16.5" customHeight="1" hidden="1">
      <c r="A74" s="163" t="s">
        <v>117</v>
      </c>
      <c r="B74" s="46"/>
      <c r="C74" s="83"/>
      <c r="D74" s="106"/>
      <c r="E74" s="106"/>
      <c r="F74" s="329"/>
      <c r="G74" s="330"/>
      <c r="H74" s="363"/>
      <c r="I74" s="329"/>
      <c r="J74" s="213"/>
      <c r="K74" s="213"/>
      <c r="L74" s="329"/>
      <c r="M74" s="213"/>
      <c r="N74" s="213"/>
      <c r="O74" s="213"/>
      <c r="P74" s="213"/>
      <c r="Q74" s="213"/>
      <c r="R74" s="213"/>
      <c r="S74" s="213"/>
      <c r="T74" s="213"/>
      <c r="U74" s="213"/>
      <c r="V74" s="213">
        <f>IF(НАЧАЛО!O34="КК",IF(AND(F74=0,I74=0,L74=0),0,1),4)</f>
        <v>4</v>
      </c>
      <c r="W74" s="213"/>
    </row>
    <row r="75" spans="1:23" ht="8.25" customHeight="1">
      <c r="A75" s="59"/>
      <c r="B75" s="59"/>
      <c r="C75" s="60"/>
      <c r="D75" s="106"/>
      <c r="E75" s="106"/>
      <c r="F75" s="76"/>
      <c r="G75" s="76"/>
      <c r="H75" s="363"/>
      <c r="I75" s="76"/>
      <c r="J75" s="213"/>
      <c r="K75" s="213"/>
      <c r="L75" s="76"/>
      <c r="M75" s="213"/>
      <c r="N75" s="213"/>
      <c r="O75" s="213"/>
      <c r="P75" s="213"/>
      <c r="Q75" s="213"/>
      <c r="R75" s="213"/>
      <c r="S75" s="213"/>
      <c r="T75" s="213"/>
      <c r="U75" s="213"/>
      <c r="V75" s="213">
        <f>IF(V76=0,0,V76)</f>
        <v>1</v>
      </c>
      <c r="W75" s="213"/>
    </row>
    <row r="76" spans="1:23" ht="16.5" customHeight="1">
      <c r="A76" s="163" t="s">
        <v>148</v>
      </c>
      <c r="B76" s="46"/>
      <c r="C76" s="83"/>
      <c r="D76" s="106"/>
      <c r="E76" s="106"/>
      <c r="F76" s="83">
        <f>F72+F74</f>
        <v>64519</v>
      </c>
      <c r="G76" s="76"/>
      <c r="H76" s="363"/>
      <c r="I76" s="83">
        <f>I72+I74</f>
        <v>64938</v>
      </c>
      <c r="J76" s="213"/>
      <c r="K76" s="213"/>
      <c r="L76" s="83">
        <f>L72+L74</f>
        <v>0</v>
      </c>
      <c r="M76" s="213"/>
      <c r="N76" s="213"/>
      <c r="O76" s="213"/>
      <c r="P76" s="213"/>
      <c r="Q76" s="213"/>
      <c r="R76" s="213"/>
      <c r="S76" s="213"/>
      <c r="T76" s="213"/>
      <c r="U76" s="213"/>
      <c r="V76" s="213">
        <f>IF(AND(F76=0,I76=0,L76=0),0,1)</f>
        <v>1</v>
      </c>
      <c r="W76" s="213"/>
    </row>
    <row r="77" spans="1:23" ht="9" customHeight="1">
      <c r="A77" s="59"/>
      <c r="B77" s="59"/>
      <c r="C77" s="60"/>
      <c r="D77" s="106"/>
      <c r="E77" s="106"/>
      <c r="F77" s="76"/>
      <c r="G77" s="76"/>
      <c r="H77" s="363"/>
      <c r="I77" s="76"/>
      <c r="J77" s="213"/>
      <c r="K77" s="213"/>
      <c r="L77" s="76"/>
      <c r="M77" s="213"/>
      <c r="N77" s="213"/>
      <c r="O77" s="213"/>
      <c r="P77" s="213"/>
      <c r="Q77" s="213"/>
      <c r="R77" s="213"/>
      <c r="S77" s="213"/>
      <c r="T77" s="213"/>
      <c r="U77" s="213"/>
      <c r="V77" s="213">
        <f>IF(V78=0,0,1)</f>
        <v>1</v>
      </c>
      <c r="W77" s="213"/>
    </row>
    <row r="78" spans="1:23" ht="15" customHeight="1">
      <c r="A78" s="46" t="s">
        <v>166</v>
      </c>
      <c r="B78" s="46"/>
      <c r="C78" s="69"/>
      <c r="D78" s="106"/>
      <c r="E78" s="106"/>
      <c r="F78" s="69"/>
      <c r="G78" s="76"/>
      <c r="H78" s="363"/>
      <c r="I78" s="69"/>
      <c r="J78" s="213"/>
      <c r="K78" s="213"/>
      <c r="L78" s="69"/>
      <c r="M78" s="213"/>
      <c r="N78" s="213"/>
      <c r="O78" s="213"/>
      <c r="P78" s="213"/>
      <c r="Q78" s="213"/>
      <c r="R78" s="213"/>
      <c r="S78" s="213"/>
      <c r="T78" s="213"/>
      <c r="U78" s="213"/>
      <c r="V78" s="213">
        <f>IF(V90=0,0,1)</f>
        <v>1</v>
      </c>
      <c r="W78" s="213"/>
    </row>
    <row r="79" spans="1:23" ht="6.75" customHeight="1">
      <c r="A79" s="46"/>
      <c r="B79" s="46"/>
      <c r="C79" s="51"/>
      <c r="D79" s="52"/>
      <c r="E79" s="52"/>
      <c r="F79" s="53"/>
      <c r="G79" s="54"/>
      <c r="H79" s="355"/>
      <c r="I79" s="53"/>
      <c r="J79" s="213"/>
      <c r="K79" s="213"/>
      <c r="L79" s="53"/>
      <c r="M79" s="213"/>
      <c r="N79" s="213"/>
      <c r="O79" s="213"/>
      <c r="P79" s="213"/>
      <c r="Q79" s="213"/>
      <c r="R79" s="213"/>
      <c r="S79" s="213"/>
      <c r="T79" s="213"/>
      <c r="U79" s="213"/>
      <c r="V79" s="213">
        <f>IF(V80=0,0,1)</f>
        <v>1</v>
      </c>
      <c r="W79" s="213"/>
    </row>
    <row r="80" spans="1:23" ht="15">
      <c r="A80" s="55" t="s">
        <v>188</v>
      </c>
      <c r="B80" s="59"/>
      <c r="C80" s="104" t="str">
        <f>IF(AND(F80=0,I80=0,L80=0),"",CONCATENATE("1.",D80,"."))</f>
        <v>1.9.</v>
      </c>
      <c r="D80" s="105">
        <f>IF(AND(F80=0,I80=0,L80=0),0,MAX(D$8:D79)+1)</f>
        <v>9</v>
      </c>
      <c r="E80" s="105"/>
      <c r="F80" s="28">
        <v>30</v>
      </c>
      <c r="G80" s="23"/>
      <c r="H80" s="365"/>
      <c r="I80" s="28"/>
      <c r="J80" s="213"/>
      <c r="K80" s="339"/>
      <c r="L80" s="28"/>
      <c r="M80" s="213"/>
      <c r="N80" s="213"/>
      <c r="O80" s="213"/>
      <c r="P80" s="213"/>
      <c r="Q80" s="213"/>
      <c r="R80" s="213"/>
      <c r="S80" s="213"/>
      <c r="T80" s="213"/>
      <c r="U80" s="213"/>
      <c r="V80" s="213">
        <f>IF(AND(F80=0,I80=0,L80=0),0,1)</f>
        <v>1</v>
      </c>
      <c r="W80" s="339"/>
    </row>
    <row r="81" spans="1:23" ht="9" customHeight="1" hidden="1">
      <c r="A81" s="59"/>
      <c r="B81" s="59"/>
      <c r="C81" s="84"/>
      <c r="D81" s="106"/>
      <c r="E81" s="106"/>
      <c r="F81" s="23"/>
      <c r="G81" s="23"/>
      <c r="H81" s="365"/>
      <c r="I81" s="23"/>
      <c r="J81" s="213"/>
      <c r="K81" s="213"/>
      <c r="L81" s="23"/>
      <c r="M81" s="213"/>
      <c r="N81" s="213"/>
      <c r="O81" s="213"/>
      <c r="P81" s="213"/>
      <c r="Q81" s="213"/>
      <c r="R81" s="213"/>
      <c r="S81" s="213"/>
      <c r="T81" s="213"/>
      <c r="U81" s="213"/>
      <c r="V81" s="213">
        <f>IF(V82=0,0,1)</f>
        <v>0</v>
      </c>
      <c r="W81" s="213"/>
    </row>
    <row r="82" spans="1:23" ht="15" hidden="1">
      <c r="A82" s="55" t="s">
        <v>250</v>
      </c>
      <c r="B82" s="59"/>
      <c r="C82" s="104">
        <f>IF(AND(F82=0,I82=0,L82=0),"",CONCATENATE("1.",D82,"."))</f>
      </c>
      <c r="D82" s="105">
        <f>IF(AND(F82=0,I82=0,L82=0),0,MAX(D$8:D81)+1)</f>
        <v>0</v>
      </c>
      <c r="E82" s="105"/>
      <c r="F82" s="28"/>
      <c r="G82" s="23"/>
      <c r="H82" s="365"/>
      <c r="I82" s="28"/>
      <c r="J82" s="213"/>
      <c r="K82" s="339"/>
      <c r="L82" s="28"/>
      <c r="M82" s="213"/>
      <c r="N82" s="213"/>
      <c r="O82" s="213"/>
      <c r="P82" s="213"/>
      <c r="Q82" s="213"/>
      <c r="R82" s="213"/>
      <c r="S82" s="213"/>
      <c r="T82" s="213"/>
      <c r="U82" s="213"/>
      <c r="V82" s="213">
        <f>IF(AND(F82=0,I82=0,L82=0),0,1)</f>
        <v>0</v>
      </c>
      <c r="W82" s="339"/>
    </row>
    <row r="83" spans="1:23" ht="8.25" customHeight="1" hidden="1">
      <c r="A83" s="59"/>
      <c r="B83" s="59"/>
      <c r="C83" s="84"/>
      <c r="D83" s="106"/>
      <c r="E83" s="106"/>
      <c r="F83" s="23"/>
      <c r="G83" s="23"/>
      <c r="H83" s="365"/>
      <c r="I83" s="23"/>
      <c r="J83" s="213"/>
      <c r="K83" s="213"/>
      <c r="L83" s="23"/>
      <c r="M83" s="213"/>
      <c r="N83" s="213"/>
      <c r="O83" s="213"/>
      <c r="P83" s="213"/>
      <c r="Q83" s="213"/>
      <c r="R83" s="213"/>
      <c r="S83" s="213"/>
      <c r="T83" s="213"/>
      <c r="U83" s="213"/>
      <c r="V83" s="213">
        <f>IF(V84=0,0,1)</f>
        <v>0</v>
      </c>
      <c r="W83" s="213"/>
    </row>
    <row r="84" spans="1:23" ht="15" hidden="1">
      <c r="A84" s="55" t="s">
        <v>46</v>
      </c>
      <c r="B84" s="59"/>
      <c r="C84" s="104">
        <f>IF(AND(F84=0,I84=0,L84=0),"",CONCATENATE("1.",D84,"."))</f>
      </c>
      <c r="D84" s="105">
        <f>IF(AND(F84=0,I84=0,L84=0),0,MAX(D$8:D83)+1)</f>
        <v>0</v>
      </c>
      <c r="E84" s="105"/>
      <c r="F84" s="28"/>
      <c r="G84" s="23"/>
      <c r="H84" s="365"/>
      <c r="I84" s="28"/>
      <c r="J84" s="213"/>
      <c r="K84" s="339"/>
      <c r="L84" s="28"/>
      <c r="M84" s="213"/>
      <c r="N84" s="213"/>
      <c r="O84" s="213"/>
      <c r="P84" s="213"/>
      <c r="Q84" s="213"/>
      <c r="R84" s="213"/>
      <c r="S84" s="213"/>
      <c r="T84" s="213"/>
      <c r="U84" s="213"/>
      <c r="V84" s="213">
        <f>IF(AND(F84=0,I84=0,L84=0),0,1)</f>
        <v>0</v>
      </c>
      <c r="W84" s="339"/>
    </row>
    <row r="85" spans="1:23" ht="8.25" customHeight="1" hidden="1">
      <c r="A85" s="59"/>
      <c r="B85" s="59"/>
      <c r="C85" s="84"/>
      <c r="D85" s="106"/>
      <c r="E85" s="106"/>
      <c r="F85" s="23"/>
      <c r="G85" s="23"/>
      <c r="H85" s="365"/>
      <c r="I85" s="23"/>
      <c r="J85" s="213"/>
      <c r="K85" s="213"/>
      <c r="L85" s="23"/>
      <c r="M85" s="213"/>
      <c r="N85" s="213"/>
      <c r="O85" s="213"/>
      <c r="P85" s="213"/>
      <c r="Q85" s="213"/>
      <c r="R85" s="213"/>
      <c r="S85" s="213"/>
      <c r="T85" s="213"/>
      <c r="U85" s="213"/>
      <c r="V85" s="213">
        <f>IF(V86=0,0,1)</f>
        <v>0</v>
      </c>
      <c r="W85" s="213"/>
    </row>
    <row r="86" spans="1:23" ht="15" hidden="1">
      <c r="A86" s="55" t="s">
        <v>237</v>
      </c>
      <c r="B86" s="59"/>
      <c r="C86" s="104">
        <f>IF(AND(F86=0,I86=0,L86=0),"",CONCATENATE("1.",D86,"."))</f>
      </c>
      <c r="D86" s="105">
        <f>IF(AND(F86=0,I86=0,L86=0),0,MAX(D$8:D85)+1)</f>
        <v>0</v>
      </c>
      <c r="E86" s="105"/>
      <c r="F86" s="28"/>
      <c r="G86" s="23"/>
      <c r="H86" s="365"/>
      <c r="I86" s="28"/>
      <c r="J86" s="213"/>
      <c r="K86" s="339"/>
      <c r="L86" s="28"/>
      <c r="M86" s="213"/>
      <c r="N86" s="213"/>
      <c r="O86" s="213"/>
      <c r="P86" s="213"/>
      <c r="Q86" s="213"/>
      <c r="R86" s="213"/>
      <c r="S86" s="213"/>
      <c r="T86" s="213"/>
      <c r="U86" s="213"/>
      <c r="V86" s="213">
        <f>IF(AND(F86=0,I86=0,L86=0),0,1)</f>
        <v>0</v>
      </c>
      <c r="W86" s="339"/>
    </row>
    <row r="87" spans="1:23" ht="7.5" customHeight="1" hidden="1">
      <c r="A87" s="59"/>
      <c r="B87" s="59"/>
      <c r="C87" s="60"/>
      <c r="D87" s="106"/>
      <c r="E87" s="106"/>
      <c r="F87" s="24"/>
      <c r="G87" s="29"/>
      <c r="H87" s="366"/>
      <c r="I87" s="24"/>
      <c r="J87" s="213"/>
      <c r="K87" s="213"/>
      <c r="L87" s="24"/>
      <c r="M87" s="213"/>
      <c r="N87" s="213"/>
      <c r="O87" s="213"/>
      <c r="P87" s="213"/>
      <c r="Q87" s="213"/>
      <c r="R87" s="213"/>
      <c r="S87" s="213"/>
      <c r="T87" s="213"/>
      <c r="U87" s="213"/>
      <c r="V87" s="213">
        <f>IF(V88=0,0,1)</f>
        <v>0</v>
      </c>
      <c r="W87" s="213"/>
    </row>
    <row r="88" spans="1:23" ht="15" customHeight="1" hidden="1">
      <c r="A88" s="55" t="s">
        <v>44</v>
      </c>
      <c r="B88" s="59"/>
      <c r="C88" s="104">
        <f>IF(AND(F88=0,I88=0,L88=0),"",CONCATENATE("1.",D88,"."))</f>
      </c>
      <c r="D88" s="105">
        <f>IF(AND(F88=0,I88=0,L88=0),0,MAX(D$8:D87)+1)</f>
        <v>0</v>
      </c>
      <c r="E88" s="105"/>
      <c r="F88" s="28"/>
      <c r="G88" s="23"/>
      <c r="H88" s="365"/>
      <c r="I88" s="28"/>
      <c r="J88" s="213"/>
      <c r="K88" s="339"/>
      <c r="L88" s="28"/>
      <c r="M88" s="213"/>
      <c r="N88" s="213"/>
      <c r="O88" s="213"/>
      <c r="P88" s="213"/>
      <c r="Q88" s="213"/>
      <c r="R88" s="213"/>
      <c r="S88" s="213"/>
      <c r="T88" s="213"/>
      <c r="U88" s="213"/>
      <c r="V88" s="213">
        <f>IF(AND(F88=0,I88=0,L88=0),0,1)</f>
        <v>0</v>
      </c>
      <c r="W88" s="339"/>
    </row>
    <row r="89" spans="1:23" ht="8.25" customHeight="1">
      <c r="A89" s="46"/>
      <c r="B89" s="46"/>
      <c r="C89" s="84"/>
      <c r="D89" s="106"/>
      <c r="E89" s="106"/>
      <c r="F89" s="76"/>
      <c r="G89" s="76"/>
      <c r="H89" s="363"/>
      <c r="I89" s="76"/>
      <c r="J89" s="213"/>
      <c r="K89" s="213"/>
      <c r="L89" s="76"/>
      <c r="M89" s="213"/>
      <c r="N89" s="213"/>
      <c r="O89" s="213"/>
      <c r="P89" s="213"/>
      <c r="Q89" s="213"/>
      <c r="R89" s="213"/>
      <c r="S89" s="213"/>
      <c r="T89" s="213"/>
      <c r="U89" s="213"/>
      <c r="V89" s="213">
        <f>IF(V90=0,0,1)</f>
        <v>1</v>
      </c>
      <c r="W89" s="213"/>
    </row>
    <row r="90" spans="1:23" ht="16.5" customHeight="1">
      <c r="A90" s="162" t="s">
        <v>12</v>
      </c>
      <c r="B90" s="46"/>
      <c r="C90" s="83"/>
      <c r="D90" s="106"/>
      <c r="E90" s="106"/>
      <c r="F90" s="83">
        <f>F80+F82+F84+F86+F88</f>
        <v>30</v>
      </c>
      <c r="G90" s="76"/>
      <c r="H90" s="363"/>
      <c r="I90" s="83">
        <f>I80+I82+I84+I86+I88</f>
        <v>0</v>
      </c>
      <c r="J90" s="213"/>
      <c r="K90" s="213"/>
      <c r="L90" s="83">
        <f>L80+L82+L84+L86+L88</f>
        <v>0</v>
      </c>
      <c r="M90" s="213"/>
      <c r="N90" s="213"/>
      <c r="O90" s="213"/>
      <c r="P90" s="213"/>
      <c r="Q90" s="213"/>
      <c r="R90" s="213"/>
      <c r="S90" s="213"/>
      <c r="T90" s="213"/>
      <c r="U90" s="213"/>
      <c r="V90" s="213">
        <f>IF(AND(F90=0,I90=0,L90=0),0,1)</f>
        <v>1</v>
      </c>
      <c r="W90" s="213"/>
    </row>
    <row r="91" spans="1:23" ht="7.5" customHeight="1">
      <c r="A91" s="46"/>
      <c r="B91" s="46"/>
      <c r="C91" s="60"/>
      <c r="D91" s="106"/>
      <c r="E91" s="106"/>
      <c r="F91" s="86"/>
      <c r="G91" s="87"/>
      <c r="H91" s="367"/>
      <c r="I91" s="86"/>
      <c r="J91" s="213"/>
      <c r="K91" s="213"/>
      <c r="L91" s="86"/>
      <c r="M91" s="213"/>
      <c r="N91" s="213"/>
      <c r="O91" s="213"/>
      <c r="P91" s="213"/>
      <c r="Q91" s="213"/>
      <c r="R91" s="213"/>
      <c r="S91" s="213"/>
      <c r="T91" s="213"/>
      <c r="U91" s="213"/>
      <c r="V91" s="213">
        <f>IF(V92=0,0,1)</f>
        <v>1</v>
      </c>
      <c r="W91" s="213"/>
    </row>
    <row r="92" spans="1:23" ht="16.5" customHeight="1">
      <c r="A92" s="46" t="s">
        <v>167</v>
      </c>
      <c r="B92" s="46"/>
      <c r="C92" s="69"/>
      <c r="D92" s="106"/>
      <c r="E92" s="106"/>
      <c r="F92" s="69"/>
      <c r="G92" s="76"/>
      <c r="H92" s="363"/>
      <c r="I92" s="69"/>
      <c r="J92" s="213"/>
      <c r="K92" s="213"/>
      <c r="L92" s="69"/>
      <c r="M92" s="213"/>
      <c r="N92" s="213"/>
      <c r="O92" s="213"/>
      <c r="P92" s="213"/>
      <c r="Q92" s="213"/>
      <c r="R92" s="213"/>
      <c r="S92" s="213"/>
      <c r="T92" s="213"/>
      <c r="U92" s="213"/>
      <c r="V92" s="213">
        <f>IF(V108=0,0,1)</f>
        <v>1</v>
      </c>
      <c r="W92" s="213"/>
    </row>
    <row r="93" spans="1:23" ht="6.75" customHeight="1">
      <c r="A93" s="46"/>
      <c r="B93" s="46"/>
      <c r="C93" s="51"/>
      <c r="D93" s="52"/>
      <c r="E93" s="52"/>
      <c r="F93" s="53"/>
      <c r="G93" s="54"/>
      <c r="H93" s="355"/>
      <c r="I93" s="53"/>
      <c r="J93" s="213"/>
      <c r="K93" s="213"/>
      <c r="L93" s="53"/>
      <c r="M93" s="213"/>
      <c r="N93" s="213"/>
      <c r="O93" s="213"/>
      <c r="P93" s="213"/>
      <c r="Q93" s="213"/>
      <c r="R93" s="213"/>
      <c r="S93" s="213"/>
      <c r="T93" s="213"/>
      <c r="U93" s="213"/>
      <c r="V93" s="213">
        <f>IF(V94=0,0,1)</f>
        <v>1</v>
      </c>
      <c r="W93" s="213"/>
    </row>
    <row r="94" spans="1:23" ht="15">
      <c r="A94" s="55" t="s">
        <v>190</v>
      </c>
      <c r="B94" s="59"/>
      <c r="C94" s="104" t="str">
        <f>IF(AND(F94=0,I94=0,L94=0),"",CONCATENATE("1.",D94,"."))</f>
        <v>1.10.</v>
      </c>
      <c r="D94" s="105">
        <f>IF(AND(F94=0,I94=0,L94=0),0,MAX(D$8:D93)+1)</f>
        <v>10</v>
      </c>
      <c r="E94" s="105"/>
      <c r="F94" s="28">
        <v>9280</v>
      </c>
      <c r="G94" s="23"/>
      <c r="H94" s="365"/>
      <c r="I94" s="28">
        <v>9328</v>
      </c>
      <c r="J94" s="213"/>
      <c r="K94" s="339"/>
      <c r="L94" s="28"/>
      <c r="M94" s="213"/>
      <c r="N94" s="213"/>
      <c r="O94" s="213"/>
      <c r="P94" s="213"/>
      <c r="Q94" s="213"/>
      <c r="R94" s="213"/>
      <c r="S94" s="213"/>
      <c r="T94" s="213"/>
      <c r="U94" s="213"/>
      <c r="V94" s="213">
        <f>IF(AND(F94=0,I94=0,L94=0),0,1)</f>
        <v>1</v>
      </c>
      <c r="W94" s="339"/>
    </row>
    <row r="95" spans="1:23" ht="9" customHeight="1">
      <c r="A95" s="59"/>
      <c r="B95" s="59"/>
      <c r="C95" s="60"/>
      <c r="D95" s="106"/>
      <c r="E95" s="106"/>
      <c r="F95" s="24"/>
      <c r="G95" s="29"/>
      <c r="H95" s="366"/>
      <c r="I95" s="24"/>
      <c r="J95" s="213"/>
      <c r="K95" s="213"/>
      <c r="L95" s="24"/>
      <c r="M95" s="213"/>
      <c r="N95" s="213"/>
      <c r="O95" s="213"/>
      <c r="P95" s="213"/>
      <c r="Q95" s="213"/>
      <c r="R95" s="213"/>
      <c r="S95" s="213"/>
      <c r="T95" s="213"/>
      <c r="U95" s="213"/>
      <c r="V95" s="213">
        <f>IF(V96=0,0,1)</f>
        <v>1</v>
      </c>
      <c r="W95" s="213"/>
    </row>
    <row r="96" spans="1:23" ht="15" customHeight="1">
      <c r="A96" s="55" t="s">
        <v>259</v>
      </c>
      <c r="B96" s="59"/>
      <c r="C96" s="104" t="str">
        <f>IF(AND(F96=0,I96=0,L96=0),"",CONCATENATE("1.",D96,"."))</f>
        <v>1.11.</v>
      </c>
      <c r="D96" s="105">
        <f>IF(AND(F96=0,I96=0,L96=0),0,MAX(D$8:D95)+1)</f>
        <v>11</v>
      </c>
      <c r="E96" s="105"/>
      <c r="F96" s="28">
        <v>389</v>
      </c>
      <c r="G96" s="23"/>
      <c r="H96" s="365"/>
      <c r="I96" s="28">
        <v>257</v>
      </c>
      <c r="J96" s="213"/>
      <c r="K96" s="339"/>
      <c r="L96" s="28"/>
      <c r="M96" s="213"/>
      <c r="N96" s="213"/>
      <c r="O96" s="213"/>
      <c r="P96" s="213"/>
      <c r="Q96" s="213"/>
      <c r="R96" s="213"/>
      <c r="S96" s="213"/>
      <c r="T96" s="213"/>
      <c r="U96" s="213"/>
      <c r="V96" s="213">
        <f>IF(AND(F96=0,I96=0,L96=0),0,1)</f>
        <v>1</v>
      </c>
      <c r="W96" s="339"/>
    </row>
    <row r="97" spans="1:23" ht="9" customHeight="1">
      <c r="A97" s="59"/>
      <c r="B97" s="59"/>
      <c r="C97" s="60"/>
      <c r="D97" s="106"/>
      <c r="E97" s="106"/>
      <c r="F97" s="24"/>
      <c r="G97" s="29"/>
      <c r="H97" s="366"/>
      <c r="I97" s="24"/>
      <c r="J97" s="213"/>
      <c r="K97" s="213"/>
      <c r="L97" s="24"/>
      <c r="M97" s="213"/>
      <c r="N97" s="213"/>
      <c r="O97" s="213"/>
      <c r="P97" s="213"/>
      <c r="Q97" s="213"/>
      <c r="R97" s="213"/>
      <c r="S97" s="213"/>
      <c r="T97" s="213"/>
      <c r="U97" s="213"/>
      <c r="V97" s="213">
        <f>IF(V98=0,0,1)</f>
        <v>1</v>
      </c>
      <c r="W97" s="213"/>
    </row>
    <row r="98" spans="1:23" ht="15">
      <c r="A98" s="55" t="s">
        <v>155</v>
      </c>
      <c r="B98" s="59"/>
      <c r="C98" s="104" t="str">
        <f>IF(AND(F98=0,I98=0,L98=0),"",CONCATENATE("1.",D98,"."))</f>
        <v>1.12.</v>
      </c>
      <c r="D98" s="105">
        <f>IF(AND(F98=0,I98=0,L98=0),0,MAX(D$8:D97)+1)</f>
        <v>12</v>
      </c>
      <c r="E98" s="105"/>
      <c r="F98" s="28">
        <v>20</v>
      </c>
      <c r="G98" s="23"/>
      <c r="H98" s="365"/>
      <c r="I98" s="28">
        <v>5</v>
      </c>
      <c r="J98" s="213"/>
      <c r="K98" s="339"/>
      <c r="L98" s="28"/>
      <c r="M98" s="213"/>
      <c r="N98" s="213"/>
      <c r="O98" s="213"/>
      <c r="P98" s="213"/>
      <c r="Q98" s="213"/>
      <c r="R98" s="213"/>
      <c r="S98" s="213"/>
      <c r="T98" s="213"/>
      <c r="U98" s="213"/>
      <c r="V98" s="213">
        <f>IF(AND(F98=0,I98=0,L98=0),0,1)</f>
        <v>1</v>
      </c>
      <c r="W98" s="339"/>
    </row>
    <row r="99" spans="1:23" ht="9" customHeight="1">
      <c r="A99" s="59"/>
      <c r="B99" s="59"/>
      <c r="C99" s="60"/>
      <c r="D99" s="106"/>
      <c r="E99" s="106"/>
      <c r="F99" s="24"/>
      <c r="G99" s="29"/>
      <c r="H99" s="366"/>
      <c r="I99" s="24"/>
      <c r="J99" s="213"/>
      <c r="K99" s="213"/>
      <c r="L99" s="24"/>
      <c r="M99" s="213"/>
      <c r="N99" s="213"/>
      <c r="O99" s="213"/>
      <c r="P99" s="213"/>
      <c r="Q99" s="213"/>
      <c r="R99" s="213"/>
      <c r="S99" s="213"/>
      <c r="T99" s="213"/>
      <c r="U99" s="213"/>
      <c r="V99" s="213">
        <f>IF(V100=0,0,1)</f>
        <v>1</v>
      </c>
      <c r="W99" s="213"/>
    </row>
    <row r="100" spans="1:23" ht="15">
      <c r="A100" s="55" t="s">
        <v>191</v>
      </c>
      <c r="B100" s="59"/>
      <c r="C100" s="104" t="str">
        <f>IF(AND(F100=0,I100=0,L100=0),"",CONCATENATE("1.",D100,"."))</f>
        <v>1.13.</v>
      </c>
      <c r="D100" s="105">
        <f>IF(AND(F100=0,I100=0,L100=0),0,MAX(D$8:D99)+1)</f>
        <v>13</v>
      </c>
      <c r="E100" s="105"/>
      <c r="F100" s="28">
        <v>335</v>
      </c>
      <c r="G100" s="23"/>
      <c r="H100" s="368"/>
      <c r="I100" s="28">
        <v>89</v>
      </c>
      <c r="J100" s="213"/>
      <c r="K100" s="339"/>
      <c r="L100" s="28"/>
      <c r="M100" s="213"/>
      <c r="N100" s="213"/>
      <c r="O100" s="213"/>
      <c r="P100" s="213"/>
      <c r="Q100" s="213"/>
      <c r="R100" s="213"/>
      <c r="S100" s="213"/>
      <c r="T100" s="213"/>
      <c r="U100" s="213"/>
      <c r="V100" s="213">
        <f>IF(AND(F100=0,I100=0,L100=0),0,1)</f>
        <v>1</v>
      </c>
      <c r="W100" s="339"/>
    </row>
    <row r="101" spans="1:23" ht="9" customHeight="1" hidden="1">
      <c r="A101" s="59"/>
      <c r="B101" s="59"/>
      <c r="C101" s="60"/>
      <c r="D101" s="106"/>
      <c r="E101" s="106"/>
      <c r="F101" s="24"/>
      <c r="G101" s="29"/>
      <c r="H101" s="366"/>
      <c r="I101" s="24"/>
      <c r="J101" s="213"/>
      <c r="K101" s="213"/>
      <c r="L101" s="24"/>
      <c r="M101" s="213"/>
      <c r="N101" s="213"/>
      <c r="O101" s="213"/>
      <c r="P101" s="213"/>
      <c r="Q101" s="213"/>
      <c r="R101" s="213"/>
      <c r="S101" s="213"/>
      <c r="T101" s="213"/>
      <c r="U101" s="213"/>
      <c r="V101" s="213">
        <f>IF(V102=0,0,1)</f>
        <v>0</v>
      </c>
      <c r="W101" s="213"/>
    </row>
    <row r="102" spans="1:23" ht="15" hidden="1">
      <c r="A102" s="55" t="s">
        <v>47</v>
      </c>
      <c r="B102" s="59"/>
      <c r="C102" s="104">
        <f>IF(AND(F102=0,I102=0,L102=0),"",CONCATENATE("1.",D102,"."))</f>
      </c>
      <c r="D102" s="105">
        <f>IF(AND(F102=0,I102=0,L102=0),0,MAX(D$8:D101)+1)</f>
        <v>0</v>
      </c>
      <c r="E102" s="105"/>
      <c r="F102" s="28"/>
      <c r="G102" s="23"/>
      <c r="H102" s="368"/>
      <c r="I102" s="28"/>
      <c r="J102" s="213"/>
      <c r="K102" s="339"/>
      <c r="L102" s="28"/>
      <c r="M102" s="213"/>
      <c r="N102" s="213"/>
      <c r="O102" s="213"/>
      <c r="P102" s="213"/>
      <c r="Q102" s="213"/>
      <c r="R102" s="213"/>
      <c r="S102" s="213"/>
      <c r="T102" s="213"/>
      <c r="U102" s="213"/>
      <c r="V102" s="213">
        <f>IF(AND(F102=0,I102=0,L102=0),0,1)</f>
        <v>0</v>
      </c>
      <c r="W102" s="339"/>
    </row>
    <row r="103" spans="1:23" ht="9" customHeight="1" hidden="1">
      <c r="A103" s="59"/>
      <c r="B103" s="59"/>
      <c r="C103" s="60"/>
      <c r="D103" s="106"/>
      <c r="E103" s="106"/>
      <c r="F103" s="24"/>
      <c r="G103" s="29"/>
      <c r="H103" s="366"/>
      <c r="I103" s="24"/>
      <c r="J103" s="213"/>
      <c r="K103" s="213"/>
      <c r="L103" s="24"/>
      <c r="M103" s="213"/>
      <c r="N103" s="213"/>
      <c r="O103" s="213"/>
      <c r="P103" s="213"/>
      <c r="Q103" s="213"/>
      <c r="R103" s="213"/>
      <c r="S103" s="213"/>
      <c r="T103" s="213"/>
      <c r="U103" s="213"/>
      <c r="V103" s="213">
        <f>IF(V104=0,0,1)</f>
        <v>0</v>
      </c>
      <c r="W103" s="213"/>
    </row>
    <row r="104" spans="1:23" ht="15" hidden="1">
      <c r="A104" s="55" t="s">
        <v>253</v>
      </c>
      <c r="B104" s="59"/>
      <c r="C104" s="104">
        <f>IF(AND(F104=0,I104=0,L104=0),"",CONCATENATE("1.",D104,"."))</f>
      </c>
      <c r="D104" s="105">
        <f>IF(AND(F104=0,I104=0,L104=0),0,MAX(D$8:D103)+1)</f>
        <v>0</v>
      </c>
      <c r="E104" s="105"/>
      <c r="F104" s="28"/>
      <c r="G104" s="23"/>
      <c r="H104" s="368"/>
      <c r="I104" s="28"/>
      <c r="J104" s="213"/>
      <c r="K104" s="339"/>
      <c r="L104" s="28"/>
      <c r="M104" s="213"/>
      <c r="N104" s="213"/>
      <c r="O104" s="213"/>
      <c r="P104" s="213"/>
      <c r="Q104" s="213"/>
      <c r="R104" s="213"/>
      <c r="S104" s="213"/>
      <c r="T104" s="213"/>
      <c r="U104" s="213"/>
      <c r="V104" s="213">
        <f>IF(AND(F104=0,I104=0,L104=0),0,1)</f>
        <v>0</v>
      </c>
      <c r="W104" s="339"/>
    </row>
    <row r="105" spans="1:23" ht="9.75" customHeight="1" hidden="1">
      <c r="A105" s="59"/>
      <c r="B105" s="59"/>
      <c r="C105" s="60"/>
      <c r="D105" s="106"/>
      <c r="E105" s="106"/>
      <c r="F105" s="24"/>
      <c r="G105" s="29"/>
      <c r="H105" s="366"/>
      <c r="I105" s="24"/>
      <c r="J105" s="213"/>
      <c r="K105" s="213"/>
      <c r="L105" s="24"/>
      <c r="M105" s="213"/>
      <c r="N105" s="213"/>
      <c r="O105" s="213"/>
      <c r="P105" s="213"/>
      <c r="Q105" s="213"/>
      <c r="R105" s="213"/>
      <c r="S105" s="213"/>
      <c r="T105" s="213"/>
      <c r="U105" s="213"/>
      <c r="V105" s="213">
        <f>IF(V106=0,0,1)</f>
        <v>0</v>
      </c>
      <c r="W105" s="213"/>
    </row>
    <row r="106" spans="1:23" ht="15" customHeight="1" hidden="1">
      <c r="A106" s="55" t="s">
        <v>44</v>
      </c>
      <c r="B106" s="59"/>
      <c r="C106" s="104">
        <f>IF(AND(F106=0,I106=0,L106=0),"",CONCATENATE("1.",D106,"."))</f>
      </c>
      <c r="D106" s="105">
        <f>IF(AND(F106=0,I106=0,L106=0),0,MAX(D$8:D105)+1)</f>
        <v>0</v>
      </c>
      <c r="E106" s="105"/>
      <c r="F106" s="28"/>
      <c r="G106" s="23"/>
      <c r="H106" s="368"/>
      <c r="I106" s="28"/>
      <c r="J106" s="213"/>
      <c r="K106" s="339"/>
      <c r="L106" s="28"/>
      <c r="M106" s="213"/>
      <c r="N106" s="213"/>
      <c r="O106" s="213"/>
      <c r="P106" s="213"/>
      <c r="Q106" s="213"/>
      <c r="R106" s="213"/>
      <c r="S106" s="213"/>
      <c r="T106" s="213"/>
      <c r="U106" s="213"/>
      <c r="V106" s="213">
        <f>IF(AND(F106=0,I106=0,L106=0),0,1)</f>
        <v>0</v>
      </c>
      <c r="W106" s="339"/>
    </row>
    <row r="107" spans="1:23" ht="8.25" customHeight="1">
      <c r="A107" s="46"/>
      <c r="B107" s="46"/>
      <c r="C107" s="84"/>
      <c r="D107" s="107"/>
      <c r="E107" s="107"/>
      <c r="F107" s="76"/>
      <c r="G107" s="76"/>
      <c r="H107" s="363"/>
      <c r="I107" s="76"/>
      <c r="J107" s="213"/>
      <c r="K107" s="213"/>
      <c r="L107" s="76"/>
      <c r="M107" s="213"/>
      <c r="N107" s="213"/>
      <c r="O107" s="213"/>
      <c r="P107" s="213"/>
      <c r="Q107" s="213"/>
      <c r="R107" s="213"/>
      <c r="S107" s="213"/>
      <c r="T107" s="213"/>
      <c r="U107" s="213"/>
      <c r="V107" s="213">
        <f>IF(V108=0,0,1)</f>
        <v>1</v>
      </c>
      <c r="W107" s="213"/>
    </row>
    <row r="108" spans="1:23" ht="16.5" customHeight="1">
      <c r="A108" s="162" t="s">
        <v>13</v>
      </c>
      <c r="B108" s="46"/>
      <c r="C108" s="83"/>
      <c r="D108" s="107"/>
      <c r="E108" s="107"/>
      <c r="F108" s="83">
        <f>F94+F96+F98+F100+F102+F104+F106</f>
        <v>10024</v>
      </c>
      <c r="G108" s="76"/>
      <c r="H108" s="363"/>
      <c r="I108" s="83">
        <f>I94+I96+I98+I100+I102+I104+I106</f>
        <v>9679</v>
      </c>
      <c r="J108" s="213"/>
      <c r="K108" s="213"/>
      <c r="L108" s="83">
        <f>L94+L96+L98+L100+L102+L104+L106</f>
        <v>0</v>
      </c>
      <c r="M108" s="213"/>
      <c r="N108" s="213"/>
      <c r="O108" s="213"/>
      <c r="P108" s="213"/>
      <c r="Q108" s="213"/>
      <c r="R108" s="213"/>
      <c r="S108" s="213"/>
      <c r="T108" s="213"/>
      <c r="U108" s="213"/>
      <c r="V108" s="213">
        <f>IF(AND(F108=0,I108=0,L108=0),0,1)</f>
        <v>1</v>
      </c>
      <c r="W108" s="213"/>
    </row>
    <row r="109" spans="1:23" ht="9" customHeight="1">
      <c r="A109" s="59"/>
      <c r="B109" s="59"/>
      <c r="C109" s="60"/>
      <c r="D109" s="107"/>
      <c r="E109" s="107"/>
      <c r="F109" s="88"/>
      <c r="G109" s="85"/>
      <c r="H109" s="366"/>
      <c r="I109" s="88"/>
      <c r="J109" s="213"/>
      <c r="K109" s="213"/>
      <c r="L109" s="88"/>
      <c r="M109" s="213"/>
      <c r="N109" s="213"/>
      <c r="O109" s="213"/>
      <c r="P109" s="213"/>
      <c r="Q109" s="213"/>
      <c r="R109" s="213"/>
      <c r="S109" s="213"/>
      <c r="T109" s="213"/>
      <c r="U109" s="213"/>
      <c r="V109" s="213">
        <v>2</v>
      </c>
      <c r="W109" s="213"/>
    </row>
    <row r="110" spans="1:23" ht="16.5" customHeight="1" thickBot="1">
      <c r="A110" s="73" t="s">
        <v>49</v>
      </c>
      <c r="B110" s="46"/>
      <c r="C110" s="73"/>
      <c r="D110" s="107"/>
      <c r="E110" s="107"/>
      <c r="F110" s="73">
        <f>F76+F90+F108</f>
        <v>74573</v>
      </c>
      <c r="G110" s="69"/>
      <c r="H110" s="356">
        <f>SUM(H100:H106)</f>
        <v>0</v>
      </c>
      <c r="I110" s="73">
        <f>I76+I90+I108</f>
        <v>74617</v>
      </c>
      <c r="J110" s="213"/>
      <c r="K110" s="213"/>
      <c r="L110" s="73">
        <f>L76+L90+L108</f>
        <v>0</v>
      </c>
      <c r="M110" s="213"/>
      <c r="N110" s="213"/>
      <c r="O110" s="213"/>
      <c r="P110" s="213"/>
      <c r="Q110" s="213"/>
      <c r="R110" s="213"/>
      <c r="S110" s="213"/>
      <c r="T110" s="213"/>
      <c r="U110" s="213"/>
      <c r="V110" s="213">
        <v>2</v>
      </c>
      <c r="W110" s="213"/>
    </row>
    <row r="111" spans="1:23" ht="14.25" customHeight="1" thickTop="1">
      <c r="A111" s="347"/>
      <c r="B111" s="348"/>
      <c r="C111" s="347"/>
      <c r="D111" s="349"/>
      <c r="E111" s="349"/>
      <c r="F111" s="347"/>
      <c r="G111" s="347"/>
      <c r="H111" s="347"/>
      <c r="I111" s="347"/>
      <c r="J111" s="323"/>
      <c r="K111" s="323"/>
      <c r="L111" s="347"/>
      <c r="M111" s="213"/>
      <c r="N111" s="213"/>
      <c r="O111" s="213"/>
      <c r="P111" s="213"/>
      <c r="Q111" s="213"/>
      <c r="R111" s="213"/>
      <c r="S111" s="213"/>
      <c r="T111" s="213"/>
      <c r="U111" s="213"/>
      <c r="V111" s="213">
        <v>2</v>
      </c>
      <c r="W111" s="338"/>
    </row>
    <row r="112" spans="1:23" ht="14.25" customHeight="1">
      <c r="A112" s="350" t="s">
        <v>94</v>
      </c>
      <c r="B112" s="348"/>
      <c r="C112" s="347"/>
      <c r="D112" s="349"/>
      <c r="E112" s="349"/>
      <c r="F112" s="347"/>
      <c r="G112" s="347"/>
      <c r="H112" s="347"/>
      <c r="I112" s="347"/>
      <c r="J112" s="323"/>
      <c r="K112" s="323"/>
      <c r="L112" s="347"/>
      <c r="M112" s="213"/>
      <c r="N112" s="213"/>
      <c r="O112" s="213">
        <f>COUNTA(K55:K110,W55:W110)</f>
        <v>0</v>
      </c>
      <c r="P112" s="369" t="s">
        <v>88</v>
      </c>
      <c r="Q112" s="213"/>
      <c r="R112" s="213"/>
      <c r="S112" s="213"/>
      <c r="T112" s="213"/>
      <c r="U112" s="213"/>
      <c r="V112" s="213">
        <v>2</v>
      </c>
      <c r="W112" s="338"/>
    </row>
    <row r="113" spans="1:23" ht="15">
      <c r="A113" s="434">
        <f>IF(AND(F$43=F$110,I$43=I$110,L$43=L$110),"","Разлика между актива и пасива!")</f>
      </c>
      <c r="B113" s="434"/>
      <c r="C113" s="434"/>
      <c r="D113" s="349"/>
      <c r="E113" s="349"/>
      <c r="F113" s="351">
        <f>IF(F$43=F$110,"",F43-F110)</f>
      </c>
      <c r="G113" s="352"/>
      <c r="H113" s="352"/>
      <c r="I113" s="351">
        <f>IF(I$43=I$110,"",I43-I110)</f>
      </c>
      <c r="J113" s="213"/>
      <c r="K113" s="338"/>
      <c r="L113" s="351">
        <f>IF(L$43=L$110,"",L43-L110)</f>
      </c>
      <c r="M113" s="213"/>
      <c r="N113" s="213"/>
      <c r="O113" s="213"/>
      <c r="P113" s="213"/>
      <c r="Q113" s="213"/>
      <c r="R113" s="213"/>
      <c r="S113" s="213"/>
      <c r="T113" s="213"/>
      <c r="U113" s="213"/>
      <c r="V113" s="213">
        <v>2</v>
      </c>
      <c r="W113" s="338"/>
    </row>
    <row r="114" spans="1:23" ht="15">
      <c r="A114" s="153" t="str">
        <f>ОД!A71</f>
        <v>Приложенията от страница 7 до страница 45 са неразделна част от финансовия отчет.</v>
      </c>
      <c r="B114" s="153"/>
      <c r="C114" s="153"/>
      <c r="D114" s="153"/>
      <c r="E114" s="153"/>
      <c r="F114" s="153"/>
      <c r="G114" s="153"/>
      <c r="H114" s="153"/>
      <c r="I114" s="153"/>
      <c r="J114" s="213"/>
      <c r="K114" s="338"/>
      <c r="L114" s="338"/>
      <c r="M114" s="213"/>
      <c r="N114" s="213"/>
      <c r="O114" s="213"/>
      <c r="P114" s="213"/>
      <c r="Q114" s="213"/>
      <c r="R114" s="213"/>
      <c r="S114" s="213"/>
      <c r="T114" s="213"/>
      <c r="U114" s="213"/>
      <c r="V114" s="213">
        <v>2</v>
      </c>
      <c r="W114" s="338"/>
    </row>
    <row r="115" spans="1:23" ht="15">
      <c r="A115" s="433">
        <f>IF(AND(F$43=F$110,I$43=I$110,L$43=L$110),"","Сума на актива:")</f>
      </c>
      <c r="B115" s="433"/>
      <c r="C115" s="433"/>
      <c r="D115" s="90"/>
      <c r="E115" s="90"/>
      <c r="F115" s="91">
        <f>IF(F$43=F$110,"",F43)</f>
      </c>
      <c r="G115" s="90"/>
      <c r="H115" s="90"/>
      <c r="I115" s="91">
        <f>IF(I$43=I$110,"",I43)</f>
      </c>
      <c r="J115" s="213"/>
      <c r="K115" s="338"/>
      <c r="L115" s="91">
        <f>IF(L$43=L$110,"",L43)</f>
      </c>
      <c r="M115" s="213"/>
      <c r="N115" s="213"/>
      <c r="O115" s="213"/>
      <c r="P115" s="213"/>
      <c r="Q115" s="213"/>
      <c r="R115" s="213"/>
      <c r="S115" s="213"/>
      <c r="T115" s="213"/>
      <c r="U115" s="213"/>
      <c r="V115" s="213">
        <v>2</v>
      </c>
      <c r="W115" s="338"/>
    </row>
    <row r="116" spans="1:23" ht="15">
      <c r="A116" s="92" t="str">
        <f>НАЧАЛО!$A$44</f>
        <v>Представляващ:</v>
      </c>
      <c r="B116" s="93"/>
      <c r="C116" s="94"/>
      <c r="D116" s="89"/>
      <c r="E116" s="89"/>
      <c r="F116" s="95"/>
      <c r="G116" s="95"/>
      <c r="H116" s="95"/>
      <c r="I116" s="95"/>
      <c r="J116" s="213"/>
      <c r="K116" s="338"/>
      <c r="L116" s="338"/>
      <c r="M116" s="213"/>
      <c r="N116" s="213"/>
      <c r="O116" s="213"/>
      <c r="P116" s="213"/>
      <c r="Q116" s="213"/>
      <c r="R116" s="213"/>
      <c r="S116" s="213"/>
      <c r="T116" s="213"/>
      <c r="U116" s="213"/>
      <c r="V116" s="213">
        <v>2</v>
      </c>
      <c r="W116" s="338"/>
    </row>
    <row r="117" spans="1:23" ht="15">
      <c r="A117" s="96" t="str">
        <f>НАЧАЛО!$A$46</f>
        <v>Явор Хайтов                          Красимир Сланчев</v>
      </c>
      <c r="B117" s="97"/>
      <c r="C117" s="94"/>
      <c r="D117" s="89"/>
      <c r="E117" s="89"/>
      <c r="F117" s="95"/>
      <c r="G117" s="95"/>
      <c r="H117" s="95"/>
      <c r="I117" s="95"/>
      <c r="J117" s="213"/>
      <c r="K117" s="338"/>
      <c r="L117" s="338"/>
      <c r="M117" s="213"/>
      <c r="N117" s="213"/>
      <c r="O117" s="213"/>
      <c r="P117" s="213"/>
      <c r="Q117" s="213"/>
      <c r="R117" s="213"/>
      <c r="S117" s="213"/>
      <c r="T117" s="213"/>
      <c r="U117" s="213"/>
      <c r="V117" s="213">
        <v>2</v>
      </c>
      <c r="W117" s="338"/>
    </row>
    <row r="118" spans="1:23" ht="15">
      <c r="A118" s="98"/>
      <c r="B118" s="99"/>
      <c r="C118" s="94"/>
      <c r="D118" s="89"/>
      <c r="E118" s="89"/>
      <c r="F118" s="95"/>
      <c r="G118" s="95"/>
      <c r="H118" s="95"/>
      <c r="I118" s="95"/>
      <c r="J118" s="213"/>
      <c r="K118" s="338"/>
      <c r="L118" s="338"/>
      <c r="M118" s="213"/>
      <c r="N118" s="213"/>
      <c r="O118" s="213"/>
      <c r="P118" s="213"/>
      <c r="Q118" s="213"/>
      <c r="R118" s="213"/>
      <c r="S118" s="213"/>
      <c r="T118" s="213"/>
      <c r="U118" s="213"/>
      <c r="V118" s="213">
        <v>2</v>
      </c>
      <c r="W118" s="338"/>
    </row>
    <row r="119" spans="1:23" ht="15">
      <c r="A119" s="97" t="str">
        <f>НАЧАЛО!$F$44</f>
        <v>Съставител:</v>
      </c>
      <c r="B119" s="99"/>
      <c r="C119" s="94"/>
      <c r="D119" s="89"/>
      <c r="E119" s="89"/>
      <c r="F119" s="95"/>
      <c r="G119" s="95"/>
      <c r="H119" s="95"/>
      <c r="I119" s="95"/>
      <c r="J119" s="213"/>
      <c r="K119" s="338"/>
      <c r="L119" s="338"/>
      <c r="M119" s="213"/>
      <c r="N119" s="213"/>
      <c r="O119" s="213"/>
      <c r="P119" s="213"/>
      <c r="Q119" s="213"/>
      <c r="R119" s="213"/>
      <c r="S119" s="213"/>
      <c r="T119" s="213"/>
      <c r="U119" s="213"/>
      <c r="V119" s="213">
        <v>2</v>
      </c>
      <c r="W119" s="338"/>
    </row>
    <row r="120" spans="1:23" ht="15">
      <c r="A120" s="100" t="str">
        <f>НАЧАЛО!$F$46</f>
        <v>Боряна Машова</v>
      </c>
      <c r="B120" s="97"/>
      <c r="C120" s="94"/>
      <c r="D120" s="89"/>
      <c r="E120" s="89"/>
      <c r="F120" s="95"/>
      <c r="G120" s="95"/>
      <c r="H120" s="95"/>
      <c r="I120" s="95"/>
      <c r="J120" s="213"/>
      <c r="K120" s="338"/>
      <c r="L120" s="338"/>
      <c r="M120" s="213"/>
      <c r="N120" s="213"/>
      <c r="O120" s="213"/>
      <c r="P120" s="213"/>
      <c r="Q120" s="213"/>
      <c r="R120" s="213"/>
      <c r="S120" s="213"/>
      <c r="T120" s="213"/>
      <c r="U120" s="213"/>
      <c r="V120" s="213">
        <v>2</v>
      </c>
      <c r="W120" s="338"/>
    </row>
    <row r="121" spans="1:23" ht="15">
      <c r="A121" s="97"/>
      <c r="B121" s="101"/>
      <c r="C121" s="94"/>
      <c r="D121" s="89"/>
      <c r="E121" s="89"/>
      <c r="F121" s="95"/>
      <c r="G121" s="95"/>
      <c r="H121" s="95"/>
      <c r="I121" s="95"/>
      <c r="J121" s="213"/>
      <c r="K121" s="338"/>
      <c r="L121" s="338"/>
      <c r="M121" s="213"/>
      <c r="N121" s="213"/>
      <c r="O121" s="213"/>
      <c r="P121" s="213"/>
      <c r="Q121" s="213"/>
      <c r="R121" s="213"/>
      <c r="S121" s="213"/>
      <c r="T121" s="213"/>
      <c r="U121" s="213"/>
      <c r="V121" s="213">
        <v>2</v>
      </c>
      <c r="W121" s="338"/>
    </row>
    <row r="122" spans="1:23" ht="15">
      <c r="A122" s="100" t="str">
        <f>НАЧАЛО!$C$49</f>
        <v>Заверил:</v>
      </c>
      <c r="B122" s="95"/>
      <c r="C122" s="94"/>
      <c r="D122" s="89"/>
      <c r="E122" s="89"/>
      <c r="F122" s="95"/>
      <c r="G122" s="95"/>
      <c r="H122" s="95"/>
      <c r="I122" s="95"/>
      <c r="J122" s="213"/>
      <c r="K122" s="338"/>
      <c r="L122" s="338"/>
      <c r="M122" s="213"/>
      <c r="N122" s="213"/>
      <c r="O122" s="213"/>
      <c r="P122" s="213"/>
      <c r="Q122" s="213"/>
      <c r="R122" s="213"/>
      <c r="S122" s="213"/>
      <c r="T122" s="213"/>
      <c r="U122" s="213"/>
      <c r="V122" s="213">
        <v>2</v>
      </c>
      <c r="W122" s="338"/>
    </row>
    <row r="123" spans="1:23" ht="15">
      <c r="A123" s="96" t="str">
        <f>НАЧАЛО!$C$51</f>
        <v>СОП „Ейч Ел Би България” ООД</v>
      </c>
      <c r="B123" s="95"/>
      <c r="C123" s="94"/>
      <c r="D123" s="89"/>
      <c r="E123" s="89"/>
      <c r="F123" s="95"/>
      <c r="G123" s="95"/>
      <c r="H123" s="95"/>
      <c r="I123" s="95"/>
      <c r="J123" s="213"/>
      <c r="K123" s="338"/>
      <c r="L123" s="338"/>
      <c r="M123" s="213"/>
      <c r="N123" s="213"/>
      <c r="O123" s="213"/>
      <c r="P123" s="213"/>
      <c r="Q123" s="213"/>
      <c r="R123" s="213"/>
      <c r="S123" s="213"/>
      <c r="T123" s="213"/>
      <c r="U123" s="213"/>
      <c r="V123" s="213">
        <v>2</v>
      </c>
      <c r="W123" s="338"/>
    </row>
    <row r="124" spans="1:23" ht="18.75">
      <c r="A124" s="102"/>
      <c r="B124" s="95"/>
      <c r="C124" s="94"/>
      <c r="D124" s="89"/>
      <c r="E124" s="89"/>
      <c r="F124" s="95"/>
      <c r="G124" s="95"/>
      <c r="H124" s="95"/>
      <c r="I124" s="95"/>
      <c r="J124" s="213"/>
      <c r="K124" s="338"/>
      <c r="L124" s="338"/>
      <c r="M124" s="213"/>
      <c r="N124" s="213"/>
      <c r="O124" s="213"/>
      <c r="P124" s="213"/>
      <c r="Q124" s="213"/>
      <c r="R124" s="213"/>
      <c r="S124" s="213"/>
      <c r="T124" s="213"/>
      <c r="U124" s="213"/>
      <c r="V124" s="213">
        <v>2</v>
      </c>
      <c r="W124" s="338"/>
    </row>
    <row r="125" spans="1:23" ht="15">
      <c r="A125" s="96" t="str">
        <f>НАЧАЛО!$C$57</f>
        <v>София, 29 януари 2010 г.</v>
      </c>
      <c r="B125" s="93"/>
      <c r="C125" s="94"/>
      <c r="D125" s="89"/>
      <c r="E125" s="89"/>
      <c r="F125" s="95"/>
      <c r="G125" s="95"/>
      <c r="H125" s="95"/>
      <c r="I125" s="95"/>
      <c r="J125" s="213"/>
      <c r="K125" s="338"/>
      <c r="L125" s="338"/>
      <c r="M125" s="213"/>
      <c r="N125" s="213"/>
      <c r="O125" s="213"/>
      <c r="P125" s="213"/>
      <c r="Q125" s="213"/>
      <c r="R125" s="213"/>
      <c r="S125" s="213"/>
      <c r="T125" s="213"/>
      <c r="U125" s="213"/>
      <c r="V125" s="213">
        <v>2</v>
      </c>
      <c r="W125" s="338"/>
    </row>
    <row r="126" ht="15" hidden="1"/>
    <row r="127" ht="15" hidden="1"/>
    <row r="128" ht="15" hidden="1"/>
    <row r="129" ht="15" hidden="1"/>
    <row r="130" spans="1:5" ht="15" hidden="1">
      <c r="A130" s="30"/>
      <c r="B130" s="30"/>
      <c r="C130" s="31"/>
      <c r="D130" s="13"/>
      <c r="E130" s="13"/>
    </row>
    <row r="131" ht="15" hidden="1"/>
    <row r="132" spans="1:5" ht="15" hidden="1">
      <c r="A132" s="30"/>
      <c r="B132" s="30"/>
      <c r="C132" s="31"/>
      <c r="D132" s="13"/>
      <c r="E132" s="13"/>
    </row>
    <row r="133" spans="1:5" ht="15" hidden="1">
      <c r="A133" s="30"/>
      <c r="B133" s="30"/>
      <c r="C133" s="31"/>
      <c r="D133" s="13"/>
      <c r="E133" s="13"/>
    </row>
    <row r="134" spans="1:2" ht="15" hidden="1">
      <c r="A134" s="31"/>
      <c r="B134" s="31"/>
    </row>
    <row r="135" ht="15" hidden="1"/>
    <row r="136" spans="1:2" ht="15" hidden="1">
      <c r="A136" s="34"/>
      <c r="B136" s="34"/>
    </row>
    <row r="137" spans="1:2" ht="15" hidden="1">
      <c r="A137" s="35"/>
      <c r="B137" s="35"/>
    </row>
    <row r="138" spans="1:2" ht="15" hidden="1">
      <c r="A138" s="35"/>
      <c r="B138" s="35"/>
    </row>
    <row r="139" spans="1:2" ht="15" hidden="1">
      <c r="A139" s="34"/>
      <c r="B139" s="34"/>
    </row>
    <row r="140" spans="1:2" ht="15" hidden="1">
      <c r="A140" s="36"/>
      <c r="B140" s="36"/>
    </row>
    <row r="141" ht="15" hidden="1"/>
    <row r="142" ht="15" hidden="1"/>
    <row r="143" spans="1:2" ht="15" hidden="1">
      <c r="A143" s="37"/>
      <c r="B143" s="37"/>
    </row>
    <row r="144" spans="1:2" ht="15" hidden="1">
      <c r="A144" s="37"/>
      <c r="B144" s="37"/>
    </row>
    <row r="145" spans="1:2" ht="15" hidden="1">
      <c r="A145" s="38"/>
      <c r="B145" s="38"/>
    </row>
  </sheetData>
  <sheetProtection password="DC9E" sheet="1" objects="1" formatColumns="0" formatRows="0"/>
  <mergeCells count="2">
    <mergeCell ref="A115:C115"/>
    <mergeCell ref="A113:C113"/>
  </mergeCells>
  <conditionalFormatting sqref="L4:L5 L50:L51 L9:L43 L55:L112 A1:I125">
    <cfRule type="expression" priority="24" dxfId="0" stopIfTrue="1">
      <formula>JJ31&lt;&gt;JK31</formula>
    </cfRule>
    <cfRule type="expression" priority="25" dxfId="0" stopIfTrue="1">
      <formula>JJ32&gt;JK32</formula>
    </cfRule>
  </conditionalFormatting>
  <conditionalFormatting sqref="A114">
    <cfRule type="expression" priority="19" dxfId="15" stopIfTrue="1">
      <formula>JJ61=JK61</formula>
    </cfRule>
  </conditionalFormatting>
  <conditionalFormatting sqref="L115">
    <cfRule type="expression" priority="5" dxfId="0" stopIfTrue="1">
      <formula>JJ31&lt;&gt;JK31</formula>
    </cfRule>
    <cfRule type="expression" priority="6" dxfId="0" stopIfTrue="1">
      <formula>JJ32&gt;JK32</formula>
    </cfRule>
  </conditionalFormatting>
  <conditionalFormatting sqref="L113">
    <cfRule type="expression" priority="7" dxfId="0" stopIfTrue="1">
      <formula>JJ31&lt;&gt;JK31</formula>
    </cfRule>
    <cfRule type="expression" priority="8" dxfId="0" stopIfTrue="1">
      <formula>JJ32&gt;JK32</formula>
    </cfRule>
  </conditionalFormatting>
  <conditionalFormatting sqref="L72">
    <cfRule type="expression" priority="1" dxfId="0" stopIfTrue="1">
      <formula>JJ31&lt;&gt;JK31</formula>
    </cfRule>
    <cfRule type="expression" priority="2" dxfId="0" stopIfTrue="1">
      <formula>JJ32&gt;JK32</formula>
    </cfRule>
  </conditionalFormatting>
  <conditionalFormatting sqref="A112">
    <cfRule type="expression" priority="4" dxfId="92" stopIfTrue="1">
      <formula>O112&gt;0</formula>
    </cfRule>
  </conditionalFormatting>
  <conditionalFormatting sqref="A45">
    <cfRule type="expression" priority="3" dxfId="92" stopIfTrue="1">
      <formula>O45&gt;0</formula>
    </cfRule>
  </conditionalFormatting>
  <dataValidations count="1">
    <dataValidation type="list" allowBlank="1" showInputMessage="1" showErrorMessage="1" sqref="K66 W64 K64 W60 W104 W102 W100 W98 W96 W94 W88 W86 W84 W82 W80 W68:W70 W66 W106 W55:W56 W39 W37 W35 W33 W31 W29 W23 W21 W19 W17 W15 W13 W11 W9 K106 K104 K102 K100 K98 K96 K94 K88 K86 K84 K82 K80 K68:K70 K9 K55:K56 K39 K37 K35 K33 K31 K29 K23 K21 K19 K17 K15 K13 K11 K60 W62 K62">
      <formula1>$P$111:$P$112</formula1>
    </dataValidation>
  </dataValidations>
  <printOptions horizontalCentered="1"/>
  <pageMargins left="0.7480314960629921" right="0.7480314960629921" top="0.4724409448818898" bottom="0.31496062992125984" header="0.3937007874015748" footer="0.1968503937007874"/>
  <pageSetup firstPageNumber="1" useFirstPageNumber="1" horizontalDpi="600" verticalDpi="600" orientation="portrait" paperSize="9" scale="90" r:id="rId2"/>
  <rowBreaks count="1" manualBreakCount="1">
    <brk id="46" max="255" man="1"/>
  </rowBreaks>
  <colBreaks count="1" manualBreakCount="1">
    <brk id="23" max="122" man="1"/>
  </colBreaks>
  <legacyDrawing r:id="rId1"/>
</worksheet>
</file>

<file path=xl/worksheets/sheet3.xml><?xml version="1.0" encoding="utf-8"?>
<worksheet xmlns="http://schemas.openxmlformats.org/spreadsheetml/2006/main" xmlns:r="http://schemas.openxmlformats.org/officeDocument/2006/relationships">
  <sheetPr codeName="Sheet3"/>
  <dimension ref="A1:AC85"/>
  <sheetViews>
    <sheetView zoomScaleSheetLayoutView="80" zoomScalePageLayoutView="0" workbookViewId="0" topLeftCell="A1">
      <pane ySplit="1" topLeftCell="BM46" activePane="bottomLeft" state="frozen"/>
      <selection pane="topLeft" activeCell="A4" sqref="A4"/>
      <selection pane="bottomLeft" activeCell="A4" sqref="A4"/>
    </sheetView>
  </sheetViews>
  <sheetFormatPr defaultColWidth="9.140625" defaultRowHeight="12.75"/>
  <cols>
    <col min="1" max="1" width="50.7109375" style="109" customWidth="1"/>
    <col min="2" max="2" width="1.7109375" style="109" customWidth="1"/>
    <col min="3" max="3" width="10.140625" style="117" bestFit="1" customWidth="1"/>
    <col min="4" max="4" width="1.7109375" style="117" hidden="1" customWidth="1"/>
    <col min="5" max="5" width="1.7109375" style="117" customWidth="1"/>
    <col min="6" max="6" width="12.7109375" style="118" customWidth="1"/>
    <col min="7" max="7" width="1.7109375" style="109" hidden="1" customWidth="1"/>
    <col min="8" max="8" width="1.7109375" style="109" customWidth="1"/>
    <col min="9" max="9" width="12.7109375" style="118" customWidth="1"/>
    <col min="10" max="21" width="1.7109375" style="118" hidden="1" customWidth="1"/>
    <col min="22" max="22" width="1.7109375" style="216" hidden="1" customWidth="1"/>
    <col min="23" max="23" width="1.7109375" style="118" customWidth="1"/>
    <col min="24" max="16384" width="9.140625" style="109" customWidth="1"/>
  </cols>
  <sheetData>
    <row r="1" spans="1:29" ht="18" customHeight="1">
      <c r="A1" s="296" t="str">
        <f>НАЧАЛО!B3</f>
        <v>ЖЕЛЕЗОПЪТНА ИНФРАСТРУКТУРА ХОЛДИНГОВО ДРУЖЕСТВО АД</v>
      </c>
      <c r="B1" s="296"/>
      <c r="C1" s="297"/>
      <c r="D1" s="297"/>
      <c r="E1" s="297"/>
      <c r="F1" s="297"/>
      <c r="G1" s="297"/>
      <c r="H1" s="297"/>
      <c r="I1" s="297"/>
      <c r="J1" s="75"/>
      <c r="K1" s="75"/>
      <c r="L1" s="75"/>
      <c r="M1" s="75"/>
      <c r="N1" s="75"/>
      <c r="O1" s="75"/>
      <c r="P1" s="75"/>
      <c r="Q1" s="75"/>
      <c r="R1" s="75"/>
      <c r="S1" s="75"/>
      <c r="T1" s="75"/>
      <c r="U1" s="75"/>
      <c r="V1" s="214">
        <v>2</v>
      </c>
      <c r="W1" s="75"/>
      <c r="X1" s="306"/>
      <c r="Y1" s="306"/>
      <c r="Z1" s="306"/>
      <c r="AA1" s="306"/>
      <c r="AB1" s="306"/>
      <c r="AC1" s="306"/>
    </row>
    <row r="2" spans="1:23" s="110" customFormat="1" ht="15">
      <c r="A2" s="301" t="str">
        <f>НАЧАЛО!AA17</f>
        <v>ОТЧЕТ ЗА ДОХОДИТЕ за 2009 година</v>
      </c>
      <c r="B2" s="301"/>
      <c r="C2" s="327"/>
      <c r="D2" s="327"/>
      <c r="E2" s="327"/>
      <c r="F2" s="327"/>
      <c r="G2" s="327"/>
      <c r="H2" s="327"/>
      <c r="I2" s="327"/>
      <c r="J2" s="270"/>
      <c r="K2" s="270"/>
      <c r="L2" s="270"/>
      <c r="M2" s="270"/>
      <c r="N2" s="270"/>
      <c r="O2" s="270"/>
      <c r="P2" s="270"/>
      <c r="Q2" s="270"/>
      <c r="R2" s="270"/>
      <c r="S2" s="270"/>
      <c r="T2" s="270"/>
      <c r="U2" s="270"/>
      <c r="V2" s="214">
        <v>2</v>
      </c>
      <c r="W2" s="270"/>
    </row>
    <row r="3" spans="1:23" ht="9" customHeight="1">
      <c r="A3" s="121"/>
      <c r="B3" s="121"/>
      <c r="C3" s="122"/>
      <c r="D3" s="122"/>
      <c r="E3" s="122"/>
      <c r="F3" s="123"/>
      <c r="G3" s="124"/>
      <c r="H3" s="124"/>
      <c r="I3" s="123"/>
      <c r="J3" s="271"/>
      <c r="K3" s="271"/>
      <c r="L3" s="271"/>
      <c r="M3" s="271"/>
      <c r="N3" s="271"/>
      <c r="O3" s="271"/>
      <c r="P3" s="271"/>
      <c r="Q3" s="271"/>
      <c r="R3" s="271"/>
      <c r="S3" s="271"/>
      <c r="T3" s="271"/>
      <c r="U3" s="271"/>
      <c r="V3" s="214">
        <v>2</v>
      </c>
      <c r="W3" s="271"/>
    </row>
    <row r="4" spans="1:23" ht="15.75" customHeight="1">
      <c r="A4" s="125"/>
      <c r="B4" s="125"/>
      <c r="C4" s="125"/>
      <c r="D4" s="125"/>
      <c r="E4" s="125"/>
      <c r="F4" s="111" t="str">
        <f>НАЧАЛО!AD1&amp;" г."</f>
        <v>2009 г.</v>
      </c>
      <c r="G4" s="126"/>
      <c r="H4" s="126"/>
      <c r="I4" s="111" t="str">
        <f>НАЧАЛО!AF1&amp;" г."</f>
        <v>2008 г.</v>
      </c>
      <c r="J4" s="272"/>
      <c r="K4" s="272"/>
      <c r="L4" s="272"/>
      <c r="M4" s="272"/>
      <c r="N4" s="272"/>
      <c r="O4" s="272"/>
      <c r="P4" s="272"/>
      <c r="Q4" s="272"/>
      <c r="R4" s="272"/>
      <c r="S4" s="272"/>
      <c r="T4" s="272"/>
      <c r="U4" s="272"/>
      <c r="V4" s="214">
        <v>2</v>
      </c>
      <c r="W4" s="272"/>
    </row>
    <row r="5" spans="1:23" ht="15.75" customHeight="1">
      <c r="A5" s="125"/>
      <c r="B5" s="125"/>
      <c r="C5" s="127" t="s">
        <v>131</v>
      </c>
      <c r="D5" s="127"/>
      <c r="E5" s="127"/>
      <c r="F5" s="126" t="s">
        <v>141</v>
      </c>
      <c r="G5" s="46"/>
      <c r="H5" s="46"/>
      <c r="I5" s="126" t="s">
        <v>141</v>
      </c>
      <c r="J5" s="273"/>
      <c r="K5" s="273"/>
      <c r="L5" s="273"/>
      <c r="M5" s="273"/>
      <c r="N5" s="273"/>
      <c r="O5" s="273"/>
      <c r="P5" s="273"/>
      <c r="Q5" s="273"/>
      <c r="R5" s="273"/>
      <c r="S5" s="273"/>
      <c r="T5" s="273"/>
      <c r="U5" s="273"/>
      <c r="V5" s="214">
        <v>2</v>
      </c>
      <c r="W5" s="273"/>
    </row>
    <row r="6" spans="1:23" ht="15.75">
      <c r="A6" s="66" t="s">
        <v>170</v>
      </c>
      <c r="B6" s="66"/>
      <c r="C6" s="127"/>
      <c r="D6" s="127"/>
      <c r="E6" s="127"/>
      <c r="F6" s="128"/>
      <c r="G6" s="129"/>
      <c r="H6" s="129"/>
      <c r="I6" s="128"/>
      <c r="J6" s="274"/>
      <c r="K6" s="274"/>
      <c r="L6" s="274"/>
      <c r="M6" s="274"/>
      <c r="N6" s="274"/>
      <c r="O6" s="274"/>
      <c r="P6" s="274"/>
      <c r="Q6" s="274"/>
      <c r="R6" s="274"/>
      <c r="S6" s="274"/>
      <c r="T6" s="274"/>
      <c r="U6" s="274"/>
      <c r="V6" s="214">
        <v>2</v>
      </c>
      <c r="W6" s="274"/>
    </row>
    <row r="7" spans="1:23" ht="6.75" customHeight="1" hidden="1">
      <c r="A7" s="125"/>
      <c r="B7" s="125"/>
      <c r="C7" s="130"/>
      <c r="D7" s="130"/>
      <c r="E7" s="130"/>
      <c r="F7" s="128"/>
      <c r="G7" s="129"/>
      <c r="H7" s="129"/>
      <c r="I7" s="128"/>
      <c r="J7" s="274"/>
      <c r="K7" s="274"/>
      <c r="L7" s="274"/>
      <c r="M7" s="274"/>
      <c r="N7" s="274"/>
      <c r="O7" s="274"/>
      <c r="P7" s="274"/>
      <c r="Q7" s="274"/>
      <c r="R7" s="274"/>
      <c r="S7" s="274"/>
      <c r="T7" s="274"/>
      <c r="U7" s="274"/>
      <c r="V7" s="214">
        <f>IF(V8=0,0,V8)</f>
        <v>0</v>
      </c>
      <c r="W7" s="274"/>
    </row>
    <row r="8" spans="1:23" s="13" customFormat="1" ht="15.75" customHeight="1" hidden="1">
      <c r="A8" s="131" t="s">
        <v>179</v>
      </c>
      <c r="B8" s="70"/>
      <c r="C8" s="159">
        <f>IF(AND(F8=0,I8=0),"",CONCATENATE("2.1.",D8,"."))</f>
      </c>
      <c r="D8" s="105">
        <f>IF(AND(F8=0,I8=0),0,MAX(D$7:D7)+1)</f>
        <v>0</v>
      </c>
      <c r="E8" s="105"/>
      <c r="F8" s="133">
        <f>SUM(F9:F12)</f>
        <v>0</v>
      </c>
      <c r="G8" s="134"/>
      <c r="H8" s="134"/>
      <c r="I8" s="133">
        <f>SUM(I9:I12)</f>
        <v>0</v>
      </c>
      <c r="J8" s="275"/>
      <c r="K8" s="275"/>
      <c r="L8" s="275"/>
      <c r="M8" s="275"/>
      <c r="N8" s="275"/>
      <c r="O8" s="275"/>
      <c r="P8" s="275"/>
      <c r="Q8" s="275"/>
      <c r="R8" s="275"/>
      <c r="S8" s="275"/>
      <c r="T8" s="275"/>
      <c r="U8" s="275"/>
      <c r="V8" s="214">
        <f>IF(AND(F8=0,I8=0),0,1)</f>
        <v>0</v>
      </c>
      <c r="W8" s="339"/>
    </row>
    <row r="9" spans="1:23" s="13" customFormat="1" ht="15" customHeight="1" hidden="1">
      <c r="A9" s="59" t="s">
        <v>171</v>
      </c>
      <c r="B9" s="59"/>
      <c r="C9" s="52"/>
      <c r="D9" s="107"/>
      <c r="E9" s="107"/>
      <c r="F9" s="114"/>
      <c r="G9" s="113"/>
      <c r="H9" s="113"/>
      <c r="I9" s="114"/>
      <c r="J9" s="276"/>
      <c r="K9" s="276"/>
      <c r="L9" s="276"/>
      <c r="M9" s="276"/>
      <c r="N9" s="276"/>
      <c r="O9" s="276"/>
      <c r="P9" s="276"/>
      <c r="Q9" s="276"/>
      <c r="R9" s="276"/>
      <c r="S9" s="276"/>
      <c r="T9" s="276"/>
      <c r="U9" s="276"/>
      <c r="V9" s="214">
        <f>IF(AND(F9=0,I9=0),0,1)</f>
        <v>0</v>
      </c>
      <c r="W9" s="339"/>
    </row>
    <row r="10" spans="1:23" s="13" customFormat="1" ht="15" customHeight="1" hidden="1">
      <c r="A10" s="59" t="s">
        <v>172</v>
      </c>
      <c r="B10" s="59"/>
      <c r="C10" s="52"/>
      <c r="D10" s="107"/>
      <c r="E10" s="107"/>
      <c r="F10" s="114"/>
      <c r="G10" s="113"/>
      <c r="H10" s="113"/>
      <c r="I10" s="114"/>
      <c r="J10" s="276"/>
      <c r="K10" s="276"/>
      <c r="L10" s="276"/>
      <c r="M10" s="276"/>
      <c r="N10" s="276"/>
      <c r="O10" s="276"/>
      <c r="P10" s="276"/>
      <c r="Q10" s="276"/>
      <c r="R10" s="276"/>
      <c r="S10" s="276"/>
      <c r="T10" s="276"/>
      <c r="U10" s="276"/>
      <c r="V10" s="214">
        <f>IF(AND(F10=0,I10=0),0,1)</f>
        <v>0</v>
      </c>
      <c r="W10" s="339"/>
    </row>
    <row r="11" spans="1:23" s="13" customFormat="1" ht="15" customHeight="1" hidden="1">
      <c r="A11" s="59" t="s">
        <v>173</v>
      </c>
      <c r="B11" s="59"/>
      <c r="C11" s="52"/>
      <c r="D11" s="107"/>
      <c r="E11" s="107"/>
      <c r="F11" s="114"/>
      <c r="G11" s="113"/>
      <c r="H11" s="113"/>
      <c r="I11" s="114"/>
      <c r="J11" s="276"/>
      <c r="K11" s="276"/>
      <c r="L11" s="276"/>
      <c r="M11" s="276"/>
      <c r="N11" s="276"/>
      <c r="O11" s="276"/>
      <c r="P11" s="276"/>
      <c r="Q11" s="276"/>
      <c r="R11" s="276"/>
      <c r="S11" s="276"/>
      <c r="T11" s="276"/>
      <c r="U11" s="276"/>
      <c r="V11" s="214">
        <f>IF(AND(F11=0,I11=0),0,1)</f>
        <v>0</v>
      </c>
      <c r="W11" s="339"/>
    </row>
    <row r="12" spans="1:23" s="13" customFormat="1" ht="15" customHeight="1" hidden="1">
      <c r="A12" s="59" t="s">
        <v>157</v>
      </c>
      <c r="B12" s="59"/>
      <c r="C12" s="52"/>
      <c r="D12" s="107"/>
      <c r="E12" s="107"/>
      <c r="F12" s="114"/>
      <c r="G12" s="115"/>
      <c r="H12" s="115"/>
      <c r="I12" s="114"/>
      <c r="J12" s="276"/>
      <c r="K12" s="276"/>
      <c r="L12" s="276"/>
      <c r="M12" s="276"/>
      <c r="N12" s="276"/>
      <c r="O12" s="276"/>
      <c r="P12" s="276"/>
      <c r="Q12" s="276"/>
      <c r="R12" s="276"/>
      <c r="S12" s="276"/>
      <c r="T12" s="276"/>
      <c r="U12" s="276"/>
      <c r="V12" s="214">
        <f>IF(AND(F12=0,I12=0),0,1)</f>
        <v>0</v>
      </c>
      <c r="W12" s="339"/>
    </row>
    <row r="13" spans="1:23" s="13" customFormat="1" ht="6.75" customHeight="1" hidden="1">
      <c r="A13" s="70"/>
      <c r="B13" s="70"/>
      <c r="C13" s="136"/>
      <c r="D13" s="137"/>
      <c r="E13" s="137"/>
      <c r="F13" s="135"/>
      <c r="G13" s="135"/>
      <c r="H13" s="135"/>
      <c r="I13" s="135"/>
      <c r="J13" s="277"/>
      <c r="K13" s="277"/>
      <c r="L13" s="277"/>
      <c r="M13" s="277"/>
      <c r="N13" s="277"/>
      <c r="O13" s="277"/>
      <c r="P13" s="277"/>
      <c r="Q13" s="277"/>
      <c r="R13" s="277"/>
      <c r="S13" s="277"/>
      <c r="T13" s="277"/>
      <c r="U13" s="277"/>
      <c r="V13" s="214">
        <f>IF(V14=0,0,V14)</f>
        <v>0</v>
      </c>
      <c r="W13" s="277"/>
    </row>
    <row r="14" spans="1:23" s="13" customFormat="1" ht="30" hidden="1">
      <c r="A14" s="146" t="s">
        <v>45</v>
      </c>
      <c r="B14" s="70"/>
      <c r="C14" s="159">
        <f>IF(AND(F14=0,I14=0),"",CONCATENATE("2.1.",D14,"."))</f>
      </c>
      <c r="D14" s="105">
        <f>IF(AND(F14=0,I14=0),0,MAX(D$7:D13)+1)</f>
        <v>0</v>
      </c>
      <c r="E14" s="105"/>
      <c r="F14" s="112"/>
      <c r="G14" s="114"/>
      <c r="H14" s="114"/>
      <c r="I14" s="112"/>
      <c r="J14" s="278"/>
      <c r="K14" s="278"/>
      <c r="L14" s="278"/>
      <c r="M14" s="278"/>
      <c r="N14" s="278"/>
      <c r="O14" s="278"/>
      <c r="P14" s="278"/>
      <c r="Q14" s="278"/>
      <c r="R14" s="278"/>
      <c r="S14" s="278"/>
      <c r="T14" s="278"/>
      <c r="U14" s="278"/>
      <c r="V14" s="214">
        <f>IF(AND(F14=0,I14=0),0,1)</f>
        <v>0</v>
      </c>
      <c r="W14" s="339"/>
    </row>
    <row r="15" spans="1:23" s="13" customFormat="1" ht="6.75" customHeight="1">
      <c r="A15" s="70"/>
      <c r="B15" s="70"/>
      <c r="C15" s="52"/>
      <c r="D15" s="107"/>
      <c r="E15" s="107"/>
      <c r="F15" s="138"/>
      <c r="G15" s="139"/>
      <c r="H15" s="139"/>
      <c r="I15" s="138"/>
      <c r="J15" s="275"/>
      <c r="K15" s="275"/>
      <c r="L15" s="275"/>
      <c r="M15" s="275"/>
      <c r="N15" s="275"/>
      <c r="O15" s="275"/>
      <c r="P15" s="275"/>
      <c r="Q15" s="275"/>
      <c r="R15" s="275"/>
      <c r="S15" s="275"/>
      <c r="T15" s="275"/>
      <c r="U15" s="275"/>
      <c r="V15" s="214">
        <f>IF(V16=0,0,V16)</f>
        <v>1</v>
      </c>
      <c r="W15" s="275"/>
    </row>
    <row r="16" spans="1:23" s="13" customFormat="1" ht="15" customHeight="1">
      <c r="A16" s="131" t="s">
        <v>178</v>
      </c>
      <c r="B16" s="70"/>
      <c r="C16" s="159" t="str">
        <f>IF(AND(F16=0,I16=0),"",CONCATENATE("2.1.",D16,"."))</f>
        <v>2.1.1.</v>
      </c>
      <c r="D16" s="105">
        <f>IF(AND(F16=0,I16=0),0,MAX(D$7:D15)+1)</f>
        <v>1</v>
      </c>
      <c r="E16" s="105"/>
      <c r="F16" s="112">
        <v>976</v>
      </c>
      <c r="G16" s="114"/>
      <c r="H16" s="114"/>
      <c r="I16" s="112">
        <v>466</v>
      </c>
      <c r="J16" s="278"/>
      <c r="K16" s="278"/>
      <c r="L16" s="278"/>
      <c r="M16" s="278"/>
      <c r="N16" s="278"/>
      <c r="O16" s="278"/>
      <c r="P16" s="278"/>
      <c r="Q16" s="278"/>
      <c r="R16" s="278"/>
      <c r="S16" s="278"/>
      <c r="T16" s="278"/>
      <c r="U16" s="278"/>
      <c r="V16" s="214">
        <f>IF(AND(F16=0,I16=0),0,1)</f>
        <v>1</v>
      </c>
      <c r="W16" s="339"/>
    </row>
    <row r="17" spans="1:23" s="13" customFormat="1" ht="6.75" customHeight="1">
      <c r="A17" s="70"/>
      <c r="B17" s="70"/>
      <c r="C17" s="52"/>
      <c r="D17" s="107"/>
      <c r="E17" s="107"/>
      <c r="F17" s="138"/>
      <c r="G17" s="139"/>
      <c r="H17" s="139"/>
      <c r="I17" s="138"/>
      <c r="J17" s="275"/>
      <c r="K17" s="275"/>
      <c r="L17" s="275"/>
      <c r="M17" s="275"/>
      <c r="N17" s="275"/>
      <c r="O17" s="275"/>
      <c r="P17" s="275"/>
      <c r="Q17" s="275"/>
      <c r="R17" s="275"/>
      <c r="S17" s="275"/>
      <c r="T17" s="275"/>
      <c r="U17" s="275"/>
      <c r="V17" s="214">
        <v>2</v>
      </c>
      <c r="W17" s="275"/>
    </row>
    <row r="18" spans="1:23" s="13" customFormat="1" ht="15.75" customHeight="1" thickBot="1">
      <c r="A18" s="140" t="s">
        <v>169</v>
      </c>
      <c r="B18" s="46"/>
      <c r="C18" s="141"/>
      <c r="D18" s="107"/>
      <c r="E18" s="107"/>
      <c r="F18" s="142">
        <f>F8+F14+F16</f>
        <v>976</v>
      </c>
      <c r="G18" s="143"/>
      <c r="H18" s="143"/>
      <c r="I18" s="142">
        <f>I8+I14+I16</f>
        <v>466</v>
      </c>
      <c r="J18" s="275"/>
      <c r="K18" s="275"/>
      <c r="L18" s="275"/>
      <c r="M18" s="275"/>
      <c r="N18" s="275"/>
      <c r="O18" s="275"/>
      <c r="P18" s="275"/>
      <c r="Q18" s="275"/>
      <c r="R18" s="275"/>
      <c r="S18" s="275"/>
      <c r="T18" s="275"/>
      <c r="U18" s="275"/>
      <c r="V18" s="214">
        <v>2</v>
      </c>
      <c r="W18" s="275"/>
    </row>
    <row r="19" spans="1:23" s="13" customFormat="1" ht="7.5" customHeight="1" thickTop="1">
      <c r="A19" s="59"/>
      <c r="B19" s="59"/>
      <c r="C19" s="52"/>
      <c r="D19" s="107"/>
      <c r="E19" s="107"/>
      <c r="F19" s="135"/>
      <c r="G19" s="54"/>
      <c r="H19" s="54"/>
      <c r="I19" s="135"/>
      <c r="J19" s="277"/>
      <c r="K19" s="277"/>
      <c r="L19" s="277"/>
      <c r="M19" s="277"/>
      <c r="N19" s="277"/>
      <c r="O19" s="277"/>
      <c r="P19" s="277"/>
      <c r="Q19" s="277"/>
      <c r="R19" s="277"/>
      <c r="S19" s="277"/>
      <c r="T19" s="277"/>
      <c r="U19" s="277"/>
      <c r="V19" s="214">
        <v>2</v>
      </c>
      <c r="W19" s="277"/>
    </row>
    <row r="20" spans="1:23" s="13" customFormat="1" ht="18" customHeight="1">
      <c r="A20" s="66" t="s">
        <v>174</v>
      </c>
      <c r="B20" s="46"/>
      <c r="C20" s="52"/>
      <c r="D20" s="107"/>
      <c r="E20" s="107"/>
      <c r="F20" s="135"/>
      <c r="G20" s="52"/>
      <c r="H20" s="52"/>
      <c r="I20" s="135"/>
      <c r="J20" s="277"/>
      <c r="K20" s="277"/>
      <c r="L20" s="277"/>
      <c r="M20" s="277"/>
      <c r="N20" s="277"/>
      <c r="O20" s="277"/>
      <c r="P20" s="277"/>
      <c r="Q20" s="277"/>
      <c r="R20" s="277"/>
      <c r="S20" s="277"/>
      <c r="T20" s="277"/>
      <c r="U20" s="277"/>
      <c r="V20" s="214">
        <v>2</v>
      </c>
      <c r="W20" s="277"/>
    </row>
    <row r="21" spans="1:23" ht="6.75" customHeight="1">
      <c r="A21" s="125"/>
      <c r="B21" s="125"/>
      <c r="C21" s="130"/>
      <c r="D21" s="130"/>
      <c r="E21" s="130"/>
      <c r="F21" s="128"/>
      <c r="G21" s="129"/>
      <c r="H21" s="129"/>
      <c r="I21" s="128"/>
      <c r="J21" s="274"/>
      <c r="K21" s="274"/>
      <c r="L21" s="274"/>
      <c r="M21" s="274"/>
      <c r="N21" s="274"/>
      <c r="O21" s="274"/>
      <c r="P21" s="274"/>
      <c r="Q21" s="274"/>
      <c r="R21" s="274"/>
      <c r="S21" s="274"/>
      <c r="T21" s="274"/>
      <c r="U21" s="274"/>
      <c r="V21" s="214">
        <f>IF(V22=0,0,V22)</f>
        <v>1</v>
      </c>
      <c r="W21" s="274"/>
    </row>
    <row r="22" spans="1:23" s="13" customFormat="1" ht="15">
      <c r="A22" s="131" t="s">
        <v>142</v>
      </c>
      <c r="B22" s="70"/>
      <c r="C22" s="120"/>
      <c r="D22" s="107"/>
      <c r="E22" s="107"/>
      <c r="F22" s="133">
        <f>SUM(F23:F28)</f>
        <v>-806</v>
      </c>
      <c r="G22" s="52"/>
      <c r="H22" s="52"/>
      <c r="I22" s="133">
        <f>SUM(I23:I28)</f>
        <v>-986</v>
      </c>
      <c r="J22" s="275"/>
      <c r="K22" s="275"/>
      <c r="L22" s="275"/>
      <c r="M22" s="275"/>
      <c r="N22" s="275"/>
      <c r="O22" s="275"/>
      <c r="P22" s="275"/>
      <c r="Q22" s="275"/>
      <c r="R22" s="275"/>
      <c r="S22" s="275"/>
      <c r="T22" s="275"/>
      <c r="U22" s="275"/>
      <c r="V22" s="214">
        <f aca="true" t="shared" si="0" ref="V22:V28">IF(AND(F22=0,I22=0),0,1)</f>
        <v>1</v>
      </c>
      <c r="W22" s="339"/>
    </row>
    <row r="23" spans="1:23" s="13" customFormat="1" ht="15" customHeight="1">
      <c r="A23" s="59" t="s">
        <v>165</v>
      </c>
      <c r="B23" s="59"/>
      <c r="C23" s="103" t="str">
        <f aca="true" t="shared" si="1" ref="C23:C28">IF(AND(F23=0,I23=0),"",CONCATENATE("2.2.",D23,"."))</f>
        <v>2.2.1.</v>
      </c>
      <c r="D23" s="105">
        <f>IF(AND(F23=0,I23=0),0,MAX(D$22:D22)+1)</f>
        <v>1</v>
      </c>
      <c r="E23" s="105"/>
      <c r="F23" s="114">
        <v>-9</v>
      </c>
      <c r="G23" s="113"/>
      <c r="H23" s="113"/>
      <c r="I23" s="114">
        <v>-46</v>
      </c>
      <c r="J23" s="276"/>
      <c r="K23" s="276"/>
      <c r="L23" s="276"/>
      <c r="M23" s="276"/>
      <c r="N23" s="276"/>
      <c r="O23" s="276"/>
      <c r="P23" s="276"/>
      <c r="Q23" s="276"/>
      <c r="R23" s="276"/>
      <c r="S23" s="276"/>
      <c r="T23" s="276"/>
      <c r="U23" s="276"/>
      <c r="V23" s="214">
        <f t="shared" si="0"/>
        <v>1</v>
      </c>
      <c r="W23" s="339"/>
    </row>
    <row r="24" spans="1:23" s="13" customFormat="1" ht="15" customHeight="1">
      <c r="A24" s="59" t="s">
        <v>132</v>
      </c>
      <c r="B24" s="59"/>
      <c r="C24" s="103" t="str">
        <f t="shared" si="1"/>
        <v>2.2.2.</v>
      </c>
      <c r="D24" s="105">
        <f>IF(AND(F24=0,I24=0),0,MAX(D$22:D23)+1)</f>
        <v>2</v>
      </c>
      <c r="E24" s="105"/>
      <c r="F24" s="114">
        <v>-149</v>
      </c>
      <c r="G24" s="113"/>
      <c r="H24" s="113"/>
      <c r="I24" s="114">
        <v>-257</v>
      </c>
      <c r="J24" s="276"/>
      <c r="K24" s="276"/>
      <c r="L24" s="276"/>
      <c r="M24" s="276"/>
      <c r="N24" s="276"/>
      <c r="O24" s="276"/>
      <c r="P24" s="276"/>
      <c r="Q24" s="276"/>
      <c r="R24" s="276"/>
      <c r="S24" s="276"/>
      <c r="T24" s="276"/>
      <c r="U24" s="276"/>
      <c r="V24" s="214">
        <f t="shared" si="0"/>
        <v>1</v>
      </c>
      <c r="W24" s="339"/>
    </row>
    <row r="25" spans="1:23" s="13" customFormat="1" ht="15" customHeight="1">
      <c r="A25" s="59" t="s">
        <v>133</v>
      </c>
      <c r="B25" s="59"/>
      <c r="C25" s="103" t="str">
        <f t="shared" si="1"/>
        <v>2.2.3.</v>
      </c>
      <c r="D25" s="105">
        <f>IF(AND(F25=0,I25=0),0,MAX(D$22:D24)+1)</f>
        <v>3</v>
      </c>
      <c r="E25" s="105"/>
      <c r="F25" s="114">
        <v>-19</v>
      </c>
      <c r="G25" s="113"/>
      <c r="H25" s="113"/>
      <c r="I25" s="114">
        <v>-2</v>
      </c>
      <c r="J25" s="276"/>
      <c r="K25" s="276"/>
      <c r="L25" s="276"/>
      <c r="M25" s="276"/>
      <c r="N25" s="276"/>
      <c r="O25" s="276"/>
      <c r="P25" s="276"/>
      <c r="Q25" s="276"/>
      <c r="R25" s="276"/>
      <c r="S25" s="276"/>
      <c r="T25" s="276"/>
      <c r="U25" s="276"/>
      <c r="V25" s="214">
        <f t="shared" si="0"/>
        <v>1</v>
      </c>
      <c r="W25" s="339"/>
    </row>
    <row r="26" spans="1:23" s="13" customFormat="1" ht="15" customHeight="1">
      <c r="A26" s="59" t="s">
        <v>201</v>
      </c>
      <c r="B26" s="59"/>
      <c r="C26" s="103" t="str">
        <f t="shared" si="1"/>
        <v>2.2.4.</v>
      </c>
      <c r="D26" s="105">
        <f>IF(AND(F26=0,I26=0),0,MAX(D$22:D25)+1)</f>
        <v>4</v>
      </c>
      <c r="E26" s="105"/>
      <c r="F26" s="114">
        <v>-622</v>
      </c>
      <c r="G26" s="113"/>
      <c r="H26" s="113"/>
      <c r="I26" s="114">
        <v>-677</v>
      </c>
      <c r="J26" s="276"/>
      <c r="K26" s="276"/>
      <c r="L26" s="276"/>
      <c r="M26" s="276"/>
      <c r="N26" s="276"/>
      <c r="O26" s="276"/>
      <c r="P26" s="276"/>
      <c r="Q26" s="276"/>
      <c r="R26" s="276"/>
      <c r="S26" s="276"/>
      <c r="T26" s="276"/>
      <c r="U26" s="276"/>
      <c r="V26" s="214">
        <f t="shared" si="0"/>
        <v>1</v>
      </c>
      <c r="W26" s="339"/>
    </row>
    <row r="27" spans="1:23" s="13" customFormat="1" ht="15" customHeight="1" hidden="1">
      <c r="A27" s="59" t="s">
        <v>175</v>
      </c>
      <c r="B27" s="59"/>
      <c r="C27" s="103">
        <f t="shared" si="1"/>
      </c>
      <c r="D27" s="105">
        <f>IF(AND(F27=0,I27=0),0,MAX(D$22:D26)+1)</f>
        <v>0</v>
      </c>
      <c r="E27" s="105"/>
      <c r="F27" s="114"/>
      <c r="G27" s="113"/>
      <c r="H27" s="113"/>
      <c r="I27" s="114"/>
      <c r="J27" s="276"/>
      <c r="K27" s="276"/>
      <c r="L27" s="276"/>
      <c r="M27" s="276"/>
      <c r="N27" s="276"/>
      <c r="O27" s="276"/>
      <c r="P27" s="276"/>
      <c r="Q27" s="276"/>
      <c r="R27" s="276"/>
      <c r="S27" s="276"/>
      <c r="T27" s="276"/>
      <c r="U27" s="276"/>
      <c r="V27" s="214">
        <f t="shared" si="0"/>
        <v>0</v>
      </c>
      <c r="W27" s="339"/>
    </row>
    <row r="28" spans="1:23" s="13" customFormat="1" ht="15" customHeight="1">
      <c r="A28" s="59" t="s">
        <v>134</v>
      </c>
      <c r="B28" s="59"/>
      <c r="C28" s="103" t="str">
        <f t="shared" si="1"/>
        <v>2.2.5.</v>
      </c>
      <c r="D28" s="105">
        <f>IF(AND(F28=0,I28=0),0,MAX(D$22:D27)+1)</f>
        <v>5</v>
      </c>
      <c r="E28" s="105"/>
      <c r="F28" s="114">
        <v>-7</v>
      </c>
      <c r="G28" s="113"/>
      <c r="H28" s="113"/>
      <c r="I28" s="114">
        <v>-4</v>
      </c>
      <c r="J28" s="276"/>
      <c r="K28" s="276"/>
      <c r="L28" s="276"/>
      <c r="M28" s="276"/>
      <c r="N28" s="276"/>
      <c r="O28" s="276"/>
      <c r="P28" s="276"/>
      <c r="Q28" s="276"/>
      <c r="R28" s="276"/>
      <c r="S28" s="276"/>
      <c r="T28" s="276"/>
      <c r="U28" s="276"/>
      <c r="V28" s="214">
        <f t="shared" si="0"/>
        <v>1</v>
      </c>
      <c r="W28" s="339"/>
    </row>
    <row r="29" spans="1:23" s="13" customFormat="1" ht="6.75" customHeight="1" hidden="1">
      <c r="A29" s="59"/>
      <c r="B29" s="59"/>
      <c r="C29" s="57"/>
      <c r="D29" s="106"/>
      <c r="E29" s="106"/>
      <c r="F29" s="135"/>
      <c r="G29" s="52"/>
      <c r="H29" s="52"/>
      <c r="I29" s="135"/>
      <c r="J29" s="277"/>
      <c r="K29" s="277"/>
      <c r="L29" s="277"/>
      <c r="M29" s="277"/>
      <c r="N29" s="277"/>
      <c r="O29" s="277"/>
      <c r="P29" s="277"/>
      <c r="Q29" s="277"/>
      <c r="R29" s="277"/>
      <c r="S29" s="277"/>
      <c r="T29" s="277"/>
      <c r="U29" s="277"/>
      <c r="V29" s="214">
        <f>IF(V30=0,0,V30)</f>
        <v>0</v>
      </c>
      <c r="W29" s="277"/>
    </row>
    <row r="30" spans="1:23" s="13" customFormat="1" ht="15" hidden="1">
      <c r="A30" s="131" t="s">
        <v>143</v>
      </c>
      <c r="B30" s="70"/>
      <c r="C30" s="159">
        <f>IF(AND(F30=0,I30=0),"",CONCATENATE("2.2.",D30,"."))</f>
      </c>
      <c r="D30" s="105">
        <f>IF(AND(F30=0,I30=0),0,MAX(D$22:D29)+1)</f>
        <v>0</v>
      </c>
      <c r="E30" s="105"/>
      <c r="F30" s="133">
        <f>SUM(F31:F34)</f>
        <v>0</v>
      </c>
      <c r="G30" s="52"/>
      <c r="H30" s="52"/>
      <c r="I30" s="133">
        <f>SUM(I31:I34)</f>
        <v>0</v>
      </c>
      <c r="J30" s="275"/>
      <c r="K30" s="275"/>
      <c r="L30" s="275"/>
      <c r="M30" s="275"/>
      <c r="N30" s="275"/>
      <c r="O30" s="275"/>
      <c r="P30" s="275"/>
      <c r="Q30" s="275"/>
      <c r="R30" s="275"/>
      <c r="S30" s="275"/>
      <c r="T30" s="275"/>
      <c r="U30" s="275"/>
      <c r="V30" s="214">
        <f>IF(AND(F30=0,I30=0),0,1)</f>
        <v>0</v>
      </c>
      <c r="W30" s="339"/>
    </row>
    <row r="31" spans="1:23" s="13" customFormat="1" ht="15" customHeight="1" hidden="1">
      <c r="A31" s="59" t="s">
        <v>135</v>
      </c>
      <c r="B31" s="59"/>
      <c r="C31" s="57"/>
      <c r="D31" s="106"/>
      <c r="E31" s="106"/>
      <c r="F31" s="114"/>
      <c r="G31" s="113"/>
      <c r="H31" s="113"/>
      <c r="I31" s="114"/>
      <c r="J31" s="276"/>
      <c r="K31" s="276"/>
      <c r="L31" s="276"/>
      <c r="M31" s="276"/>
      <c r="N31" s="276"/>
      <c r="O31" s="276"/>
      <c r="P31" s="276"/>
      <c r="Q31" s="276"/>
      <c r="R31" s="276"/>
      <c r="S31" s="276"/>
      <c r="T31" s="276"/>
      <c r="U31" s="276"/>
      <c r="V31" s="214">
        <f>IF(AND(F31=0,I31=0),0,1)</f>
        <v>0</v>
      </c>
      <c r="W31" s="339"/>
    </row>
    <row r="32" spans="1:23" s="13" customFormat="1" ht="15" customHeight="1" hidden="1">
      <c r="A32" s="79" t="s">
        <v>176</v>
      </c>
      <c r="B32" s="79"/>
      <c r="C32" s="60"/>
      <c r="D32" s="144"/>
      <c r="E32" s="144"/>
      <c r="F32" s="114"/>
      <c r="G32" s="113"/>
      <c r="H32" s="113"/>
      <c r="I32" s="114"/>
      <c r="J32" s="276"/>
      <c r="K32" s="276"/>
      <c r="L32" s="276"/>
      <c r="M32" s="276"/>
      <c r="N32" s="276"/>
      <c r="O32" s="276"/>
      <c r="P32" s="276"/>
      <c r="Q32" s="276"/>
      <c r="R32" s="276"/>
      <c r="S32" s="276"/>
      <c r="T32" s="276"/>
      <c r="U32" s="276"/>
      <c r="V32" s="214">
        <f>IF(AND(F32=0,I32=0),0,1)</f>
        <v>0</v>
      </c>
      <c r="W32" s="339"/>
    </row>
    <row r="33" spans="1:23" s="13" customFormat="1" ht="28.5" customHeight="1" hidden="1">
      <c r="A33" s="79" t="s">
        <v>164</v>
      </c>
      <c r="B33" s="79"/>
      <c r="C33" s="60"/>
      <c r="D33" s="144"/>
      <c r="E33" s="144"/>
      <c r="F33" s="114"/>
      <c r="G33" s="113"/>
      <c r="H33" s="113"/>
      <c r="I33" s="114"/>
      <c r="J33" s="276"/>
      <c r="K33" s="276"/>
      <c r="L33" s="276"/>
      <c r="M33" s="276"/>
      <c r="N33" s="276"/>
      <c r="O33" s="276"/>
      <c r="P33" s="276"/>
      <c r="Q33" s="276"/>
      <c r="R33" s="276"/>
      <c r="S33" s="276"/>
      <c r="T33" s="276"/>
      <c r="U33" s="276"/>
      <c r="V33" s="214">
        <f>IF(AND(F33=0,I33=0),0,1)</f>
        <v>0</v>
      </c>
      <c r="W33" s="339"/>
    </row>
    <row r="34" spans="1:23" s="13" customFormat="1" ht="15" customHeight="1" hidden="1">
      <c r="A34" s="79" t="s">
        <v>157</v>
      </c>
      <c r="B34" s="79"/>
      <c r="C34" s="60"/>
      <c r="D34" s="144"/>
      <c r="E34" s="144"/>
      <c r="F34" s="114"/>
      <c r="G34" s="113"/>
      <c r="H34" s="113"/>
      <c r="I34" s="114"/>
      <c r="J34" s="276"/>
      <c r="K34" s="276"/>
      <c r="L34" s="276"/>
      <c r="M34" s="276"/>
      <c r="N34" s="276"/>
      <c r="O34" s="276"/>
      <c r="P34" s="276"/>
      <c r="Q34" s="276"/>
      <c r="R34" s="276"/>
      <c r="S34" s="276"/>
      <c r="T34" s="276"/>
      <c r="U34" s="276"/>
      <c r="V34" s="214">
        <f>IF(AND(F34=0,I34=0),0,1)</f>
        <v>0</v>
      </c>
      <c r="W34" s="339"/>
    </row>
    <row r="35" spans="1:23" s="13" customFormat="1" ht="6.75" customHeight="1">
      <c r="A35" s="59"/>
      <c r="B35" s="59"/>
      <c r="C35" s="52"/>
      <c r="D35" s="107"/>
      <c r="E35" s="107"/>
      <c r="F35" s="135"/>
      <c r="G35" s="134"/>
      <c r="H35" s="134"/>
      <c r="I35" s="135"/>
      <c r="J35" s="277"/>
      <c r="K35" s="277"/>
      <c r="L35" s="277"/>
      <c r="M35" s="277"/>
      <c r="N35" s="277"/>
      <c r="O35" s="277"/>
      <c r="P35" s="277"/>
      <c r="Q35" s="277"/>
      <c r="R35" s="277"/>
      <c r="S35" s="277"/>
      <c r="T35" s="277"/>
      <c r="U35" s="277"/>
      <c r="V35" s="214">
        <f>IF(V36=0,0,V36)</f>
        <v>1</v>
      </c>
      <c r="W35" s="277"/>
    </row>
    <row r="36" spans="1:23" s="13" customFormat="1" ht="15">
      <c r="A36" s="131" t="s">
        <v>177</v>
      </c>
      <c r="B36" s="70"/>
      <c r="C36" s="159" t="str">
        <f>IF(AND(F36=0,I36=0),"",CONCATENATE("2.2.",D36,"."))</f>
        <v>2.2.6.</v>
      </c>
      <c r="D36" s="105">
        <f>IF(AND(F36=0,I36=0),0,MAX(D$22:D35)+1)</f>
        <v>6</v>
      </c>
      <c r="E36" s="105"/>
      <c r="F36" s="112">
        <v>-614</v>
      </c>
      <c r="G36" s="113"/>
      <c r="H36" s="113"/>
      <c r="I36" s="112">
        <v>-330</v>
      </c>
      <c r="J36" s="278"/>
      <c r="K36" s="278"/>
      <c r="L36" s="278"/>
      <c r="M36" s="278"/>
      <c r="N36" s="278"/>
      <c r="O36" s="278"/>
      <c r="P36" s="278"/>
      <c r="Q36" s="278"/>
      <c r="R36" s="278"/>
      <c r="S36" s="278"/>
      <c r="T36" s="278"/>
      <c r="U36" s="278"/>
      <c r="V36" s="214">
        <f>IF(AND(F36=0,I36=0),0,1)</f>
        <v>1</v>
      </c>
      <c r="W36" s="339"/>
    </row>
    <row r="37" spans="1:23" s="13" customFormat="1" ht="6.75" customHeight="1">
      <c r="A37" s="70"/>
      <c r="B37" s="70"/>
      <c r="C37" s="52"/>
      <c r="D37" s="107"/>
      <c r="E37" s="107"/>
      <c r="F37" s="135"/>
      <c r="G37" s="134"/>
      <c r="H37" s="134"/>
      <c r="I37" s="145"/>
      <c r="J37" s="275"/>
      <c r="K37" s="275"/>
      <c r="L37" s="275"/>
      <c r="M37" s="275"/>
      <c r="N37" s="275"/>
      <c r="O37" s="275"/>
      <c r="P37" s="275"/>
      <c r="Q37" s="275"/>
      <c r="R37" s="275"/>
      <c r="S37" s="275"/>
      <c r="T37" s="275"/>
      <c r="U37" s="275"/>
      <c r="V37" s="214">
        <f>IF(V38=0,0,V38)</f>
        <v>2</v>
      </c>
      <c r="W37" s="275"/>
    </row>
    <row r="38" spans="1:23" s="13" customFormat="1" ht="15" customHeight="1" thickBot="1">
      <c r="A38" s="140" t="s">
        <v>183</v>
      </c>
      <c r="B38" s="46"/>
      <c r="C38" s="141"/>
      <c r="D38" s="107"/>
      <c r="E38" s="107"/>
      <c r="F38" s="142">
        <f>F22+F30+F36</f>
        <v>-1420</v>
      </c>
      <c r="G38" s="134"/>
      <c r="H38" s="134"/>
      <c r="I38" s="142">
        <f>I22+I30+I36</f>
        <v>-1316</v>
      </c>
      <c r="J38" s="275"/>
      <c r="K38" s="275"/>
      <c r="L38" s="275"/>
      <c r="M38" s="275"/>
      <c r="N38" s="275"/>
      <c r="O38" s="275"/>
      <c r="P38" s="275"/>
      <c r="Q38" s="275"/>
      <c r="R38" s="275"/>
      <c r="S38" s="275"/>
      <c r="T38" s="275"/>
      <c r="U38" s="275"/>
      <c r="V38" s="214">
        <v>2</v>
      </c>
      <c r="W38" s="339"/>
    </row>
    <row r="39" spans="1:23" s="13" customFormat="1" ht="6.75" customHeight="1" hidden="1" thickTop="1">
      <c r="A39" s="70"/>
      <c r="B39" s="70"/>
      <c r="C39" s="52"/>
      <c r="D39" s="107"/>
      <c r="E39" s="107"/>
      <c r="F39" s="135"/>
      <c r="G39" s="134"/>
      <c r="H39" s="134"/>
      <c r="I39" s="145"/>
      <c r="J39" s="275"/>
      <c r="K39" s="275"/>
      <c r="L39" s="275"/>
      <c r="M39" s="275"/>
      <c r="N39" s="275"/>
      <c r="O39" s="275"/>
      <c r="P39" s="275"/>
      <c r="Q39" s="275"/>
      <c r="R39" s="275"/>
      <c r="S39" s="275"/>
      <c r="T39" s="275"/>
      <c r="U39" s="275"/>
      <c r="V39" s="214">
        <f>IF(V40=0,0,V40)</f>
        <v>0</v>
      </c>
      <c r="W39" s="275"/>
    </row>
    <row r="40" spans="1:23" s="13" customFormat="1" ht="15.75" hidden="1" thickTop="1">
      <c r="A40" s="146" t="s">
        <v>118</v>
      </c>
      <c r="B40" s="70"/>
      <c r="C40" s="159">
        <f>IF(AND(F40=0,I40=0),"",CONCATENATE("2.2.",D40,"."))</f>
      </c>
      <c r="D40" s="105">
        <f>IF(AND(F40=0,I40=0),0,MAX(D$22:D39)+1)</f>
        <v>0</v>
      </c>
      <c r="E40" s="105"/>
      <c r="F40" s="112"/>
      <c r="G40" s="113"/>
      <c r="H40" s="113"/>
      <c r="I40" s="112"/>
      <c r="J40" s="278"/>
      <c r="K40" s="278"/>
      <c r="L40" s="278"/>
      <c r="M40" s="278"/>
      <c r="N40" s="278"/>
      <c r="O40" s="278"/>
      <c r="P40" s="278"/>
      <c r="Q40" s="278"/>
      <c r="R40" s="278"/>
      <c r="S40" s="278"/>
      <c r="T40" s="278"/>
      <c r="U40" s="278"/>
      <c r="V40" s="214">
        <f>IF(AND(F40=0,I40=0),0,1)</f>
        <v>0</v>
      </c>
      <c r="W40" s="339"/>
    </row>
    <row r="41" spans="1:23" s="13" customFormat="1" ht="6.75" customHeight="1" hidden="1" thickTop="1">
      <c r="A41" s="70"/>
      <c r="B41" s="70"/>
      <c r="C41" s="52"/>
      <c r="D41" s="107"/>
      <c r="E41" s="107"/>
      <c r="F41" s="135"/>
      <c r="G41" s="134"/>
      <c r="H41" s="134"/>
      <c r="I41" s="145"/>
      <c r="J41" s="275"/>
      <c r="K41" s="275"/>
      <c r="L41" s="275"/>
      <c r="M41" s="275"/>
      <c r="N41" s="275"/>
      <c r="O41" s="275"/>
      <c r="P41" s="275"/>
      <c r="Q41" s="275"/>
      <c r="R41" s="275"/>
      <c r="S41" s="275"/>
      <c r="T41" s="275"/>
      <c r="U41" s="275"/>
      <c r="V41" s="214">
        <f>IF(V42=0,0,V42)</f>
        <v>0</v>
      </c>
      <c r="W41" s="275"/>
    </row>
    <row r="42" spans="1:23" s="13" customFormat="1" ht="15.75" hidden="1" thickTop="1">
      <c r="A42" s="146" t="s">
        <v>54</v>
      </c>
      <c r="B42" s="70"/>
      <c r="C42" s="159">
        <f>IF(AND(F42=0,I42=0),"",CONCATENATE("2.2.",D42,"."))</f>
      </c>
      <c r="D42" s="105">
        <f>IF(AND(F42=0,I42=0),0,MAX(D$22:D41)+1)</f>
        <v>0</v>
      </c>
      <c r="E42" s="105"/>
      <c r="F42" s="112"/>
      <c r="G42" s="113"/>
      <c r="H42" s="113"/>
      <c r="I42" s="112"/>
      <c r="J42" s="278"/>
      <c r="K42" s="278"/>
      <c r="L42" s="278"/>
      <c r="M42" s="278"/>
      <c r="N42" s="278"/>
      <c r="O42" s="278"/>
      <c r="P42" s="278"/>
      <c r="Q42" s="278"/>
      <c r="R42" s="278"/>
      <c r="S42" s="278"/>
      <c r="T42" s="278"/>
      <c r="U42" s="278"/>
      <c r="V42" s="214">
        <f>IF(AND(F42=0,I42=0),0,1)</f>
        <v>0</v>
      </c>
      <c r="W42" s="339"/>
    </row>
    <row r="43" spans="1:23" s="13" customFormat="1" ht="6.75" customHeight="1" thickTop="1">
      <c r="A43" s="70"/>
      <c r="B43" s="70"/>
      <c r="C43" s="52"/>
      <c r="D43" s="107"/>
      <c r="E43" s="107"/>
      <c r="F43" s="135"/>
      <c r="G43" s="134"/>
      <c r="H43" s="134"/>
      <c r="I43" s="145"/>
      <c r="J43" s="275"/>
      <c r="K43" s="275"/>
      <c r="L43" s="275"/>
      <c r="M43" s="275"/>
      <c r="N43" s="275"/>
      <c r="O43" s="275"/>
      <c r="P43" s="275"/>
      <c r="Q43" s="275"/>
      <c r="R43" s="275"/>
      <c r="S43" s="275"/>
      <c r="T43" s="275"/>
      <c r="U43" s="275"/>
      <c r="V43" s="214">
        <f>IF(V44=0,0,V44)</f>
        <v>1</v>
      </c>
      <c r="W43" s="275"/>
    </row>
    <row r="44" spans="1:23" s="13" customFormat="1" ht="15" customHeight="1" thickBot="1">
      <c r="A44" s="140" t="s">
        <v>180</v>
      </c>
      <c r="B44" s="46"/>
      <c r="C44" s="141"/>
      <c r="D44" s="107"/>
      <c r="E44" s="107"/>
      <c r="F44" s="142">
        <f>F18+F38+F40+F42</f>
        <v>-444</v>
      </c>
      <c r="G44" s="134"/>
      <c r="H44" s="134"/>
      <c r="I44" s="142">
        <f>I18+I38+I40+I42</f>
        <v>-850</v>
      </c>
      <c r="J44" s="275"/>
      <c r="K44" s="275"/>
      <c r="L44" s="275"/>
      <c r="M44" s="275"/>
      <c r="N44" s="275"/>
      <c r="O44" s="275"/>
      <c r="P44" s="275"/>
      <c r="Q44" s="275"/>
      <c r="R44" s="275"/>
      <c r="S44" s="275"/>
      <c r="T44" s="275"/>
      <c r="U44" s="275"/>
      <c r="V44" s="214">
        <f>IF(AND(F44=0,I44=0),0,1)</f>
        <v>1</v>
      </c>
      <c r="W44" s="339"/>
    </row>
    <row r="45" spans="1:23" s="13" customFormat="1" ht="6.75" customHeight="1" thickTop="1">
      <c r="A45" s="70"/>
      <c r="B45" s="70"/>
      <c r="C45" s="52"/>
      <c r="D45" s="107"/>
      <c r="E45" s="107"/>
      <c r="F45" s="52"/>
      <c r="G45" s="134"/>
      <c r="H45" s="134"/>
      <c r="I45" s="52"/>
      <c r="J45" s="75"/>
      <c r="K45" s="75"/>
      <c r="L45" s="75"/>
      <c r="M45" s="75"/>
      <c r="N45" s="75"/>
      <c r="O45" s="75"/>
      <c r="P45" s="75"/>
      <c r="Q45" s="75"/>
      <c r="R45" s="75"/>
      <c r="S45" s="75"/>
      <c r="T45" s="75"/>
      <c r="U45" s="75"/>
      <c r="V45" s="214">
        <f>IF(V46=0,0,V46)</f>
        <v>1</v>
      </c>
      <c r="W45" s="75"/>
    </row>
    <row r="46" spans="1:23" s="13" customFormat="1" ht="15" customHeight="1">
      <c r="A46" s="131" t="s">
        <v>163</v>
      </c>
      <c r="B46" s="70"/>
      <c r="C46" s="132" t="str">
        <f>IF(AND(F46=0,I46=0),"",CONCATENATE("2.2.",D46,"."))</f>
        <v>2.2.7.</v>
      </c>
      <c r="D46" s="106">
        <f>IF(AND(F46=0,I46=0),0,MAX(D$22:D45)+1)</f>
        <v>7</v>
      </c>
      <c r="E46" s="106"/>
      <c r="F46" s="133">
        <f>SUM(F47:F48)</f>
        <v>25</v>
      </c>
      <c r="G46" s="134"/>
      <c r="H46" s="134"/>
      <c r="I46" s="133">
        <f>SUM(I47:I48)</f>
        <v>9</v>
      </c>
      <c r="J46" s="275"/>
      <c r="K46" s="275"/>
      <c r="L46" s="275"/>
      <c r="M46" s="275"/>
      <c r="N46" s="275"/>
      <c r="O46" s="275"/>
      <c r="P46" s="275"/>
      <c r="Q46" s="275"/>
      <c r="R46" s="275"/>
      <c r="S46" s="275"/>
      <c r="T46" s="275"/>
      <c r="U46" s="275"/>
      <c r="V46" s="214">
        <f>IF(AND(F46=0,I46=0,V47=0,V48=0),0,1)</f>
        <v>1</v>
      </c>
      <c r="W46" s="339"/>
    </row>
    <row r="47" spans="1:23" s="13" customFormat="1" ht="15" customHeight="1" hidden="1">
      <c r="A47" s="147" t="s">
        <v>162</v>
      </c>
      <c r="B47" s="147"/>
      <c r="C47" s="52"/>
      <c r="D47" s="107"/>
      <c r="E47" s="107"/>
      <c r="F47" s="114"/>
      <c r="G47" s="113"/>
      <c r="H47" s="113"/>
      <c r="I47" s="114"/>
      <c r="J47" s="276"/>
      <c r="K47" s="276"/>
      <c r="L47" s="276"/>
      <c r="M47" s="276"/>
      <c r="N47" s="276"/>
      <c r="O47" s="276"/>
      <c r="P47" s="276"/>
      <c r="Q47" s="276"/>
      <c r="R47" s="276"/>
      <c r="S47" s="276"/>
      <c r="T47" s="276"/>
      <c r="U47" s="276"/>
      <c r="V47" s="214">
        <f>IF(AND(F47=0,I47=0),0,1)</f>
        <v>0</v>
      </c>
      <c r="W47" s="339"/>
    </row>
    <row r="48" spans="1:23" s="13" customFormat="1" ht="15" customHeight="1">
      <c r="A48" s="147" t="s">
        <v>181</v>
      </c>
      <c r="B48" s="147"/>
      <c r="C48" s="52"/>
      <c r="D48" s="107"/>
      <c r="E48" s="107"/>
      <c r="F48" s="114">
        <v>25</v>
      </c>
      <c r="G48" s="113"/>
      <c r="H48" s="113"/>
      <c r="I48" s="114">
        <v>9</v>
      </c>
      <c r="J48" s="276"/>
      <c r="K48" s="276"/>
      <c r="L48" s="276"/>
      <c r="M48" s="276"/>
      <c r="N48" s="276"/>
      <c r="O48" s="276"/>
      <c r="P48" s="276"/>
      <c r="Q48" s="276"/>
      <c r="R48" s="276"/>
      <c r="S48" s="276"/>
      <c r="T48" s="276"/>
      <c r="U48" s="276"/>
      <c r="V48" s="214">
        <f>IF(AND(F48=0,I48=0),0,1)</f>
        <v>1</v>
      </c>
      <c r="W48" s="339"/>
    </row>
    <row r="49" spans="1:23" s="13" customFormat="1" ht="6.75" customHeight="1">
      <c r="A49" s="59"/>
      <c r="B49" s="59"/>
      <c r="C49" s="52"/>
      <c r="D49" s="107"/>
      <c r="E49" s="107"/>
      <c r="F49" s="60"/>
      <c r="G49" s="134"/>
      <c r="H49" s="134"/>
      <c r="I49" s="60"/>
      <c r="J49" s="279"/>
      <c r="K49" s="279"/>
      <c r="L49" s="279"/>
      <c r="M49" s="279"/>
      <c r="N49" s="279"/>
      <c r="O49" s="279"/>
      <c r="P49" s="279"/>
      <c r="Q49" s="279"/>
      <c r="R49" s="279"/>
      <c r="S49" s="279"/>
      <c r="T49" s="279"/>
      <c r="U49" s="279"/>
      <c r="V49" s="214">
        <f>IF(V50=0,0,V50)</f>
        <v>1</v>
      </c>
      <c r="W49" s="279"/>
    </row>
    <row r="50" spans="1:23" s="13" customFormat="1" ht="15.75" thickBot="1">
      <c r="A50" s="346" t="s">
        <v>92</v>
      </c>
      <c r="B50" s="46"/>
      <c r="C50" s="141"/>
      <c r="D50" s="107"/>
      <c r="E50" s="107"/>
      <c r="F50" s="142">
        <f>F44+F46</f>
        <v>-419</v>
      </c>
      <c r="G50" s="134"/>
      <c r="H50" s="134"/>
      <c r="I50" s="142">
        <f>I44+I46</f>
        <v>-841</v>
      </c>
      <c r="J50" s="275"/>
      <c r="K50" s="275"/>
      <c r="L50" s="275"/>
      <c r="M50" s="275"/>
      <c r="N50" s="275"/>
      <c r="O50" s="275"/>
      <c r="P50" s="275"/>
      <c r="Q50" s="275"/>
      <c r="R50" s="275"/>
      <c r="S50" s="275"/>
      <c r="T50" s="275"/>
      <c r="U50" s="275"/>
      <c r="V50" s="214">
        <f>IF(AND(F50=0,I50=0),0,1)</f>
        <v>1</v>
      </c>
      <c r="W50" s="339"/>
    </row>
    <row r="51" spans="1:23" s="13" customFormat="1" ht="6.75" customHeight="1" hidden="1" thickTop="1">
      <c r="A51" s="59"/>
      <c r="B51" s="59"/>
      <c r="C51" s="52"/>
      <c r="D51" s="107"/>
      <c r="E51" s="107"/>
      <c r="F51" s="60"/>
      <c r="G51" s="134"/>
      <c r="H51" s="134"/>
      <c r="I51" s="60"/>
      <c r="J51" s="279"/>
      <c r="K51" s="279"/>
      <c r="L51" s="279"/>
      <c r="M51" s="279"/>
      <c r="N51" s="279"/>
      <c r="O51" s="279"/>
      <c r="P51" s="279"/>
      <c r="Q51" s="279"/>
      <c r="R51" s="279"/>
      <c r="S51" s="279"/>
      <c r="T51" s="279"/>
      <c r="U51" s="279"/>
      <c r="V51" s="214">
        <f>IF(V52=0,0,V52)</f>
        <v>0</v>
      </c>
      <c r="W51" s="279"/>
    </row>
    <row r="52" spans="1:23" s="13" customFormat="1" ht="15" customHeight="1" hidden="1" thickTop="1">
      <c r="A52" s="131" t="s">
        <v>93</v>
      </c>
      <c r="B52" s="70"/>
      <c r="C52" s="132">
        <f>IF(AND(F52=0,I52=0),"",CONCATENATE("2.2.",D52,"."))</f>
      </c>
      <c r="D52" s="106">
        <f>IF(AND(F52=0,I52=0),0,MAX(D$22:D51)+1)</f>
        <v>0</v>
      </c>
      <c r="E52" s="106"/>
      <c r="F52" s="133"/>
      <c r="G52" s="134"/>
      <c r="H52" s="134"/>
      <c r="I52" s="133"/>
      <c r="J52" s="275"/>
      <c r="K52" s="275"/>
      <c r="L52" s="275"/>
      <c r="M52" s="275"/>
      <c r="N52" s="275"/>
      <c r="O52" s="275"/>
      <c r="P52" s="275"/>
      <c r="Q52" s="275"/>
      <c r="R52" s="275"/>
      <c r="S52" s="275"/>
      <c r="T52" s="275"/>
      <c r="U52" s="275"/>
      <c r="V52" s="214">
        <f>IF(AND(F52=0,I52=0),0,1)</f>
        <v>0</v>
      </c>
      <c r="W52" s="339"/>
    </row>
    <row r="53" spans="1:23" s="13" customFormat="1" ht="6.75" customHeight="1" thickTop="1">
      <c r="A53" s="59"/>
      <c r="B53" s="59"/>
      <c r="C53" s="52"/>
      <c r="D53" s="107"/>
      <c r="E53" s="107"/>
      <c r="F53" s="60"/>
      <c r="G53" s="134"/>
      <c r="H53" s="134"/>
      <c r="I53" s="60"/>
      <c r="J53" s="279"/>
      <c r="K53" s="279"/>
      <c r="L53" s="279"/>
      <c r="M53" s="279"/>
      <c r="N53" s="279"/>
      <c r="O53" s="279"/>
      <c r="P53" s="279"/>
      <c r="Q53" s="279"/>
      <c r="R53" s="279"/>
      <c r="S53" s="279"/>
      <c r="T53" s="279"/>
      <c r="U53" s="279"/>
      <c r="V53" s="214">
        <v>2</v>
      </c>
      <c r="W53" s="279"/>
    </row>
    <row r="54" spans="1:23" s="13" customFormat="1" ht="15.75" thickBot="1">
      <c r="A54" s="140" t="s">
        <v>182</v>
      </c>
      <c r="B54" s="46"/>
      <c r="C54" s="141"/>
      <c r="D54" s="107"/>
      <c r="E54" s="107"/>
      <c r="F54" s="142">
        <f>F50+F52</f>
        <v>-419</v>
      </c>
      <c r="G54" s="134"/>
      <c r="H54" s="134"/>
      <c r="I54" s="142">
        <f>I50+I52</f>
        <v>-841</v>
      </c>
      <c r="J54" s="275"/>
      <c r="K54" s="275"/>
      <c r="L54" s="275"/>
      <c r="M54" s="275"/>
      <c r="N54" s="275"/>
      <c r="O54" s="275"/>
      <c r="P54" s="275"/>
      <c r="Q54" s="275"/>
      <c r="R54" s="275"/>
      <c r="S54" s="275"/>
      <c r="T54" s="275"/>
      <c r="U54" s="275"/>
      <c r="V54" s="214">
        <v>2</v>
      </c>
      <c r="W54" s="339"/>
    </row>
    <row r="55" spans="1:23" s="13" customFormat="1" ht="15" customHeight="1" hidden="1" thickBot="1" thickTop="1">
      <c r="A55" s="140" t="s">
        <v>0</v>
      </c>
      <c r="B55" s="46"/>
      <c r="C55" s="141"/>
      <c r="D55" s="107"/>
      <c r="E55" s="107"/>
      <c r="F55" s="215">
        <f>F54-F56</f>
        <v>-419</v>
      </c>
      <c r="G55" s="134"/>
      <c r="H55" s="134"/>
      <c r="I55" s="215">
        <f>I54-I56</f>
        <v>-841</v>
      </c>
      <c r="J55" s="280"/>
      <c r="K55" s="280"/>
      <c r="L55" s="280"/>
      <c r="M55" s="280"/>
      <c r="N55" s="280"/>
      <c r="O55" s="280"/>
      <c r="P55" s="280"/>
      <c r="Q55" s="280"/>
      <c r="R55" s="280"/>
      <c r="S55" s="280"/>
      <c r="T55" s="280"/>
      <c r="U55" s="280"/>
      <c r="V55" s="214">
        <f>IF(НАЧАЛО!O34="КК",IF(AND(F55=0,I55=0),0,1),4)</f>
        <v>4</v>
      </c>
      <c r="W55" s="339"/>
    </row>
    <row r="56" spans="1:23" s="13" customFormat="1" ht="15" customHeight="1" hidden="1" thickBot="1" thickTop="1">
      <c r="A56" s="140" t="s">
        <v>119</v>
      </c>
      <c r="B56" s="46"/>
      <c r="C56" s="141"/>
      <c r="D56" s="107"/>
      <c r="E56" s="107"/>
      <c r="F56" s="331"/>
      <c r="G56" s="113"/>
      <c r="H56" s="113"/>
      <c r="I56" s="331"/>
      <c r="J56" s="275"/>
      <c r="K56" s="275"/>
      <c r="L56" s="275"/>
      <c r="M56" s="275"/>
      <c r="N56" s="275"/>
      <c r="O56" s="275"/>
      <c r="P56" s="275"/>
      <c r="Q56" s="275"/>
      <c r="R56" s="275"/>
      <c r="S56" s="275"/>
      <c r="T56" s="275"/>
      <c r="U56" s="275"/>
      <c r="V56" s="214">
        <f>IF(НАЧАЛО!O34="КК",IF(AND(F56=0,I56=0),0,1),4)</f>
        <v>4</v>
      </c>
      <c r="W56" s="339"/>
    </row>
    <row r="57" spans="1:23" s="13" customFormat="1" ht="15" customHeight="1" thickTop="1">
      <c r="A57" s="376"/>
      <c r="B57" s="376"/>
      <c r="C57" s="374"/>
      <c r="D57" s="374"/>
      <c r="E57" s="374"/>
      <c r="F57" s="377"/>
      <c r="G57" s="378"/>
      <c r="H57" s="378"/>
      <c r="I57" s="377"/>
      <c r="J57" s="275"/>
      <c r="K57" s="275"/>
      <c r="L57" s="275"/>
      <c r="M57" s="275"/>
      <c r="N57" s="275"/>
      <c r="O57" s="275"/>
      <c r="P57" s="275"/>
      <c r="Q57" s="275"/>
      <c r="R57" s="275"/>
      <c r="S57" s="275"/>
      <c r="T57" s="275"/>
      <c r="U57" s="275"/>
      <c r="V57" s="214">
        <v>2</v>
      </c>
      <c r="W57" s="373"/>
    </row>
    <row r="58" spans="1:23" s="13" customFormat="1" ht="15" customHeight="1">
      <c r="A58" s="350" t="s">
        <v>94</v>
      </c>
      <c r="B58" s="376"/>
      <c r="C58" s="374"/>
      <c r="D58" s="374"/>
      <c r="E58" s="374"/>
      <c r="F58" s="377"/>
      <c r="G58" s="378"/>
      <c r="H58" s="378"/>
      <c r="I58" s="377"/>
      <c r="J58" s="275"/>
      <c r="K58" s="275"/>
      <c r="L58" s="275"/>
      <c r="M58" s="275"/>
      <c r="N58" s="275"/>
      <c r="O58" s="371">
        <f>COUNTA(W8:W56)</f>
        <v>0</v>
      </c>
      <c r="P58" s="372" t="s">
        <v>88</v>
      </c>
      <c r="Q58" s="275"/>
      <c r="R58" s="275"/>
      <c r="S58" s="275"/>
      <c r="T58" s="275"/>
      <c r="U58" s="275"/>
      <c r="V58" s="214">
        <v>2</v>
      </c>
      <c r="W58" s="373"/>
    </row>
    <row r="59" spans="1:23" s="13" customFormat="1" ht="15" customHeight="1">
      <c r="A59" s="434">
        <f>IF(AND(F$59="",I$59=""),"","Разлика в резултата между ОПР и БАЛАНСА!")</f>
      </c>
      <c r="B59" s="434"/>
      <c r="C59" s="434"/>
      <c r="D59" s="379"/>
      <c r="E59" s="379"/>
      <c r="F59" s="380">
        <f>IF(F55=баланс!F70,"",ОД!F55-баланс!F70)</f>
      </c>
      <c r="G59" s="324"/>
      <c r="H59" s="324"/>
      <c r="I59" s="380">
        <f>IF(НАЧАЛО!AB$3=1,IF(I$55=баланс!I$70,"",I55-баланс!I$70),"")</f>
      </c>
      <c r="J59" s="275"/>
      <c r="K59" s="275"/>
      <c r="L59" s="275"/>
      <c r="M59" s="275"/>
      <c r="N59" s="275"/>
      <c r="O59" s="275"/>
      <c r="P59" s="275"/>
      <c r="Q59" s="275"/>
      <c r="R59" s="275"/>
      <c r="S59" s="275"/>
      <c r="T59" s="275"/>
      <c r="U59" s="275"/>
      <c r="V59" s="214">
        <v>2</v>
      </c>
      <c r="W59" s="373"/>
    </row>
    <row r="60" spans="1:23" s="13" customFormat="1" ht="15" customHeight="1" hidden="1">
      <c r="A60" s="405"/>
      <c r="B60" s="405"/>
      <c r="C60" s="405"/>
      <c r="D60" s="405"/>
      <c r="E60" s="405"/>
      <c r="F60" s="111" t="str">
        <f>F4</f>
        <v>2009 г.</v>
      </c>
      <c r="G60" s="406"/>
      <c r="H60" s="406"/>
      <c r="I60" s="272" t="str">
        <f>I4</f>
        <v>2008 г.</v>
      </c>
      <c r="J60" s="275"/>
      <c r="K60" s="275"/>
      <c r="L60" s="275"/>
      <c r="M60" s="275"/>
      <c r="N60" s="275"/>
      <c r="O60" s="275"/>
      <c r="P60" s="275"/>
      <c r="Q60" s="275"/>
      <c r="R60" s="275"/>
      <c r="S60" s="275"/>
      <c r="T60" s="275"/>
      <c r="U60" s="275"/>
      <c r="V60" s="214">
        <f>IF(НАЧАЛО!O34="КК",IF(AND(V67=0,V63=0),0,1),4)</f>
        <v>4</v>
      </c>
      <c r="W60" s="275"/>
    </row>
    <row r="61" spans="1:23" s="13" customFormat="1" ht="15" customHeight="1" hidden="1">
      <c r="A61" s="405"/>
      <c r="B61" s="405"/>
      <c r="C61" s="405"/>
      <c r="D61" s="405"/>
      <c r="E61" s="405"/>
      <c r="F61" s="273" t="s">
        <v>107</v>
      </c>
      <c r="G61" s="406"/>
      <c r="H61" s="406"/>
      <c r="I61" s="273" t="s">
        <v>107</v>
      </c>
      <c r="J61" s="275"/>
      <c r="K61" s="275"/>
      <c r="L61" s="275"/>
      <c r="M61" s="275"/>
      <c r="N61" s="275"/>
      <c r="O61" s="275"/>
      <c r="P61" s="275"/>
      <c r="Q61" s="275"/>
      <c r="R61" s="275"/>
      <c r="S61" s="275"/>
      <c r="T61" s="275"/>
      <c r="U61" s="275"/>
      <c r="V61" s="214">
        <f>IF(НАЧАЛО!O34="КК",IF(AND(V67=0,V63=0),0,1),4)</f>
        <v>4</v>
      </c>
      <c r="W61" s="275"/>
    </row>
    <row r="62" spans="1:23" s="13" customFormat="1" ht="6.75" customHeight="1" hidden="1">
      <c r="A62" s="59"/>
      <c r="B62" s="59"/>
      <c r="C62" s="52"/>
      <c r="D62" s="107"/>
      <c r="E62" s="107"/>
      <c r="F62" s="60"/>
      <c r="G62" s="134"/>
      <c r="H62" s="134"/>
      <c r="I62" s="60"/>
      <c r="J62" s="279"/>
      <c r="K62" s="279"/>
      <c r="L62" s="279"/>
      <c r="M62" s="279"/>
      <c r="N62" s="279"/>
      <c r="O62" s="279"/>
      <c r="P62" s="279"/>
      <c r="Q62" s="279"/>
      <c r="R62" s="279"/>
      <c r="S62" s="279"/>
      <c r="T62" s="279"/>
      <c r="U62" s="279"/>
      <c r="V62" s="214">
        <f>IF(V63=0,0,V63)</f>
        <v>4</v>
      </c>
      <c r="W62" s="279"/>
    </row>
    <row r="63" spans="1:23" s="13" customFormat="1" ht="15" customHeight="1" hidden="1">
      <c r="A63" s="131" t="s">
        <v>108</v>
      </c>
      <c r="B63" s="70"/>
      <c r="C63" s="132"/>
      <c r="D63" s="106"/>
      <c r="E63" s="106"/>
      <c r="F63" s="407">
        <f>SUM(F64:F65)</f>
        <v>0</v>
      </c>
      <c r="G63" s="134"/>
      <c r="H63" s="134"/>
      <c r="I63" s="407">
        <f>SUM(I64:I65)</f>
        <v>0</v>
      </c>
      <c r="J63" s="275"/>
      <c r="K63" s="275"/>
      <c r="L63" s="275"/>
      <c r="M63" s="275"/>
      <c r="N63" s="275"/>
      <c r="O63" s="275"/>
      <c r="P63" s="275"/>
      <c r="Q63" s="275"/>
      <c r="R63" s="275"/>
      <c r="S63" s="275"/>
      <c r="T63" s="275"/>
      <c r="U63" s="275"/>
      <c r="V63" s="214">
        <f>IF(НАЧАЛО!O34="КК",IF(AND(F63=0,I63=0,V64=0,V65=0),0,1),4)</f>
        <v>4</v>
      </c>
      <c r="W63" s="339"/>
    </row>
    <row r="64" spans="1:23" s="13" customFormat="1" ht="15" customHeight="1" hidden="1">
      <c r="A64" s="147" t="s">
        <v>105</v>
      </c>
      <c r="B64" s="147"/>
      <c r="C64" s="52"/>
      <c r="D64" s="107"/>
      <c r="E64" s="107"/>
      <c r="F64" s="408"/>
      <c r="G64" s="113"/>
      <c r="H64" s="113"/>
      <c r="I64" s="408"/>
      <c r="J64" s="276"/>
      <c r="K64" s="276"/>
      <c r="L64" s="276"/>
      <c r="M64" s="276"/>
      <c r="N64" s="276"/>
      <c r="O64" s="276"/>
      <c r="P64" s="276"/>
      <c r="Q64" s="276"/>
      <c r="R64" s="276"/>
      <c r="S64" s="276"/>
      <c r="T64" s="276"/>
      <c r="U64" s="276"/>
      <c r="V64" s="214">
        <f>IF(НАЧАЛО!O34="КК",IF(AND(F64=0,I64=0),0,1),4)</f>
        <v>4</v>
      </c>
      <c r="W64" s="339"/>
    </row>
    <row r="65" spans="1:23" s="13" customFormat="1" ht="15" customHeight="1" hidden="1">
      <c r="A65" s="147" t="s">
        <v>106</v>
      </c>
      <c r="B65" s="147"/>
      <c r="C65" s="52"/>
      <c r="D65" s="107"/>
      <c r="E65" s="107"/>
      <c r="F65" s="408"/>
      <c r="G65" s="113"/>
      <c r="H65" s="113"/>
      <c r="I65" s="408"/>
      <c r="J65" s="276"/>
      <c r="K65" s="276"/>
      <c r="L65" s="276"/>
      <c r="M65" s="276"/>
      <c r="N65" s="276"/>
      <c r="O65" s="276"/>
      <c r="P65" s="276"/>
      <c r="Q65" s="276"/>
      <c r="R65" s="276"/>
      <c r="S65" s="276"/>
      <c r="T65" s="276"/>
      <c r="U65" s="276"/>
      <c r="V65" s="214">
        <f>IF(НАЧАЛО!O34="КК",IF(AND(F65=0,I65=0),0,1),4)</f>
        <v>4</v>
      </c>
      <c r="W65" s="339"/>
    </row>
    <row r="66" spans="1:23" s="13" customFormat="1" ht="6.75" customHeight="1" hidden="1">
      <c r="A66" s="59"/>
      <c r="B66" s="59"/>
      <c r="C66" s="52"/>
      <c r="D66" s="107"/>
      <c r="E66" s="107"/>
      <c r="F66" s="60"/>
      <c r="G66" s="134"/>
      <c r="H66" s="134"/>
      <c r="I66" s="60"/>
      <c r="J66" s="279"/>
      <c r="K66" s="279"/>
      <c r="L66" s="279"/>
      <c r="M66" s="279"/>
      <c r="N66" s="279"/>
      <c r="O66" s="279"/>
      <c r="P66" s="279"/>
      <c r="Q66" s="279"/>
      <c r="R66" s="279"/>
      <c r="S66" s="279"/>
      <c r="T66" s="279"/>
      <c r="U66" s="279"/>
      <c r="V66" s="214">
        <f>IF(V67=0,0,V67)</f>
        <v>4</v>
      </c>
      <c r="W66" s="279"/>
    </row>
    <row r="67" spans="1:23" s="13" customFormat="1" ht="15" customHeight="1" hidden="1">
      <c r="A67" s="131" t="s">
        <v>109</v>
      </c>
      <c r="B67" s="70"/>
      <c r="C67" s="132"/>
      <c r="D67" s="106"/>
      <c r="E67" s="106"/>
      <c r="F67" s="407">
        <f>SUM(F68:F69)</f>
        <v>0</v>
      </c>
      <c r="G67" s="134"/>
      <c r="H67" s="134"/>
      <c r="I67" s="407">
        <f>SUM(I68:I69)</f>
        <v>0</v>
      </c>
      <c r="J67" s="275"/>
      <c r="K67" s="275"/>
      <c r="L67" s="275"/>
      <c r="M67" s="275"/>
      <c r="N67" s="275"/>
      <c r="O67" s="275"/>
      <c r="P67" s="275"/>
      <c r="Q67" s="275"/>
      <c r="R67" s="275"/>
      <c r="S67" s="275"/>
      <c r="T67" s="275"/>
      <c r="U67" s="275"/>
      <c r="V67" s="214">
        <f>IF(НАЧАЛО!O34="КК",IF(AND(F67=0,I67=0,V68=0,V69=0),0,1),4)</f>
        <v>4</v>
      </c>
      <c r="W67" s="339"/>
    </row>
    <row r="68" spans="1:23" s="13" customFormat="1" ht="15" customHeight="1" hidden="1">
      <c r="A68" s="147" t="s">
        <v>105</v>
      </c>
      <c r="B68" s="147"/>
      <c r="C68" s="52"/>
      <c r="D68" s="107"/>
      <c r="E68" s="107"/>
      <c r="F68" s="408"/>
      <c r="G68" s="113"/>
      <c r="H68" s="113"/>
      <c r="I68" s="408"/>
      <c r="J68" s="276"/>
      <c r="K68" s="276"/>
      <c r="L68" s="276"/>
      <c r="M68" s="276"/>
      <c r="N68" s="276"/>
      <c r="O68" s="276"/>
      <c r="P68" s="276"/>
      <c r="Q68" s="276"/>
      <c r="R68" s="276"/>
      <c r="S68" s="276"/>
      <c r="T68" s="276"/>
      <c r="U68" s="276"/>
      <c r="V68" s="214">
        <f>IF(НАЧАЛО!O34="КК",IF(AND(F68=0,I68=0),0,1),4)</f>
        <v>4</v>
      </c>
      <c r="W68" s="339"/>
    </row>
    <row r="69" spans="1:23" s="13" customFormat="1" ht="15" customHeight="1" hidden="1">
      <c r="A69" s="147" t="s">
        <v>106</v>
      </c>
      <c r="B69" s="147"/>
      <c r="C69" s="52"/>
      <c r="D69" s="107"/>
      <c r="E69" s="107"/>
      <c r="F69" s="408"/>
      <c r="G69" s="113"/>
      <c r="H69" s="113"/>
      <c r="I69" s="408"/>
      <c r="J69" s="276"/>
      <c r="K69" s="276"/>
      <c r="L69" s="276"/>
      <c r="M69" s="276"/>
      <c r="N69" s="276"/>
      <c r="O69" s="276"/>
      <c r="P69" s="276"/>
      <c r="Q69" s="276"/>
      <c r="R69" s="276"/>
      <c r="S69" s="276"/>
      <c r="T69" s="276"/>
      <c r="U69" s="276"/>
      <c r="V69" s="214">
        <f>IF(НАЧАЛО!O34="КК",IF(AND(F69=0,I69=0),0,1),4)</f>
        <v>4</v>
      </c>
      <c r="W69" s="339"/>
    </row>
    <row r="70" spans="1:23" s="13" customFormat="1" ht="15" customHeight="1">
      <c r="A70" s="379"/>
      <c r="B70" s="379"/>
      <c r="C70" s="379"/>
      <c r="D70" s="379"/>
      <c r="E70" s="379"/>
      <c r="F70" s="380"/>
      <c r="G70" s="324"/>
      <c r="H70" s="324"/>
      <c r="I70" s="380"/>
      <c r="J70" s="275"/>
      <c r="K70" s="275"/>
      <c r="L70" s="275"/>
      <c r="M70" s="275"/>
      <c r="N70" s="275"/>
      <c r="O70" s="275"/>
      <c r="P70" s="275"/>
      <c r="Q70" s="275"/>
      <c r="R70" s="275"/>
      <c r="S70" s="275"/>
      <c r="T70" s="275"/>
      <c r="U70" s="275"/>
      <c r="V70" s="214">
        <f>IF(НАЧАЛО!O34="КК",IF(AND(V67=0,V63=0),0,1),4)</f>
        <v>4</v>
      </c>
      <c r="W70" s="373"/>
    </row>
    <row r="71" spans="1:23" ht="15">
      <c r="A71" s="300" t="str">
        <f>CONCATENATE("Приложенията от страница ",НАЧАЛО!P52," до страница ",НАЧАЛО!R52," са неразделна част от финансовия отчет.")</f>
        <v>Приложенията от страница 7 до страница 45 са неразделна част от финансовия отчет.</v>
      </c>
      <c r="B71" s="300"/>
      <c r="C71" s="300"/>
      <c r="D71" s="300"/>
      <c r="E71" s="300"/>
      <c r="F71" s="300"/>
      <c r="G71" s="300"/>
      <c r="H71" s="300"/>
      <c r="I71" s="300"/>
      <c r="J71" s="281"/>
      <c r="K71" s="281"/>
      <c r="L71" s="281"/>
      <c r="M71" s="281"/>
      <c r="N71" s="281"/>
      <c r="O71" s="281"/>
      <c r="P71" s="281"/>
      <c r="Q71" s="281"/>
      <c r="R71" s="281"/>
      <c r="S71" s="281"/>
      <c r="T71" s="281"/>
      <c r="U71" s="281"/>
      <c r="V71" s="214">
        <v>2</v>
      </c>
      <c r="W71" s="335"/>
    </row>
    <row r="72" spans="1:23" ht="15">
      <c r="A72" s="433">
        <f>IF(AND(F$59="",I$59=""),"","Резултат в БАЛАНСА:")</f>
      </c>
      <c r="B72" s="433"/>
      <c r="C72" s="433"/>
      <c r="D72" s="150"/>
      <c r="E72" s="150"/>
      <c r="F72" s="151">
        <f>IF(F$55=баланс!F$70,"",баланс!F$70)</f>
      </c>
      <c r="G72" s="152"/>
      <c r="H72" s="152"/>
      <c r="I72" s="151">
        <f>IF(НАЧАЛО!AB$3=1,IF(I$55=баланс!I$70,"",баланс!I$70),"")</f>
      </c>
      <c r="J72" s="275"/>
      <c r="K72" s="275"/>
      <c r="L72" s="275"/>
      <c r="M72" s="275"/>
      <c r="N72" s="275"/>
      <c r="O72" s="275"/>
      <c r="P72" s="275"/>
      <c r="Q72" s="275"/>
      <c r="R72" s="275"/>
      <c r="S72" s="275"/>
      <c r="T72" s="275"/>
      <c r="U72" s="275"/>
      <c r="V72" s="214">
        <v>2</v>
      </c>
      <c r="W72" s="373"/>
    </row>
    <row r="73" spans="1:23" ht="15">
      <c r="A73" s="92" t="str">
        <f>НАЧАЛО!$A$44</f>
        <v>Представляващ:</v>
      </c>
      <c r="B73" s="153"/>
      <c r="C73" s="154"/>
      <c r="D73" s="154"/>
      <c r="E73" s="154"/>
      <c r="F73" s="98"/>
      <c r="G73" s="98"/>
      <c r="H73" s="98"/>
      <c r="I73" s="98"/>
      <c r="J73" s="282"/>
      <c r="K73" s="282"/>
      <c r="L73" s="282"/>
      <c r="M73" s="282"/>
      <c r="N73" s="282"/>
      <c r="O73" s="282"/>
      <c r="P73" s="282"/>
      <c r="Q73" s="282"/>
      <c r="R73" s="282"/>
      <c r="S73" s="282"/>
      <c r="T73" s="282"/>
      <c r="U73" s="282"/>
      <c r="V73" s="214">
        <v>2</v>
      </c>
      <c r="W73" s="98"/>
    </row>
    <row r="74" spans="1:23" ht="15">
      <c r="A74" s="96" t="str">
        <f>НАЧАЛО!$A$46</f>
        <v>Явор Хайтов                          Красимир Сланчев</v>
      </c>
      <c r="B74" s="155"/>
      <c r="C74" s="98"/>
      <c r="D74" s="98"/>
      <c r="E74" s="98"/>
      <c r="F74" s="98"/>
      <c r="G74" s="98"/>
      <c r="H74" s="98"/>
      <c r="I74" s="98"/>
      <c r="J74" s="282"/>
      <c r="K74" s="282"/>
      <c r="L74" s="282"/>
      <c r="M74" s="282"/>
      <c r="N74" s="282"/>
      <c r="O74" s="282"/>
      <c r="P74" s="282"/>
      <c r="Q74" s="282"/>
      <c r="R74" s="282"/>
      <c r="S74" s="282"/>
      <c r="T74" s="282"/>
      <c r="U74" s="282"/>
      <c r="V74" s="214">
        <v>2</v>
      </c>
      <c r="W74" s="98"/>
    </row>
    <row r="75" spans="1:23" ht="12.75">
      <c r="A75" s="98"/>
      <c r="B75" s="98"/>
      <c r="C75" s="98"/>
      <c r="D75" s="98"/>
      <c r="E75" s="98"/>
      <c r="F75" s="98"/>
      <c r="G75" s="98"/>
      <c r="H75" s="98"/>
      <c r="I75" s="98"/>
      <c r="J75" s="282"/>
      <c r="K75" s="282"/>
      <c r="L75" s="282"/>
      <c r="M75" s="282"/>
      <c r="N75" s="282"/>
      <c r="O75" s="282"/>
      <c r="P75" s="282"/>
      <c r="Q75" s="282"/>
      <c r="R75" s="282"/>
      <c r="S75" s="282"/>
      <c r="T75" s="282"/>
      <c r="U75" s="282"/>
      <c r="V75" s="214">
        <v>2</v>
      </c>
      <c r="W75" s="98"/>
    </row>
    <row r="76" spans="1:23" ht="15">
      <c r="A76" s="97" t="str">
        <f>НАЧАЛО!$F$44</f>
        <v>Съставител:</v>
      </c>
      <c r="B76" s="97"/>
      <c r="C76" s="156"/>
      <c r="D76" s="156"/>
      <c r="E76" s="156"/>
      <c r="F76" s="157"/>
      <c r="G76" s="98"/>
      <c r="H76" s="98"/>
      <c r="I76" s="157"/>
      <c r="J76" s="271"/>
      <c r="K76" s="271"/>
      <c r="L76" s="271"/>
      <c r="M76" s="271"/>
      <c r="N76" s="271"/>
      <c r="O76" s="271"/>
      <c r="P76" s="271"/>
      <c r="Q76" s="271"/>
      <c r="R76" s="271"/>
      <c r="S76" s="271"/>
      <c r="T76" s="271"/>
      <c r="U76" s="271"/>
      <c r="V76" s="214">
        <v>2</v>
      </c>
      <c r="W76" s="157"/>
    </row>
    <row r="77" spans="1:23" ht="15">
      <c r="A77" s="100" t="str">
        <f>НАЧАЛО!$F$46</f>
        <v>Боряна Машова</v>
      </c>
      <c r="B77" s="99"/>
      <c r="C77" s="156"/>
      <c r="D77" s="156"/>
      <c r="E77" s="156"/>
      <c r="F77" s="157"/>
      <c r="G77" s="98"/>
      <c r="H77" s="98"/>
      <c r="I77" s="157"/>
      <c r="J77" s="271"/>
      <c r="K77" s="271"/>
      <c r="L77" s="271"/>
      <c r="M77" s="271"/>
      <c r="N77" s="271"/>
      <c r="O77" s="271"/>
      <c r="P77" s="271"/>
      <c r="Q77" s="271"/>
      <c r="R77" s="271"/>
      <c r="S77" s="271"/>
      <c r="T77" s="271"/>
      <c r="U77" s="271"/>
      <c r="V77" s="214">
        <v>2</v>
      </c>
      <c r="W77" s="157"/>
    </row>
    <row r="78" spans="1:23" ht="15">
      <c r="A78" s="97"/>
      <c r="B78" s="97"/>
      <c r="C78" s="156"/>
      <c r="D78" s="156"/>
      <c r="E78" s="156"/>
      <c r="F78" s="157"/>
      <c r="G78" s="98"/>
      <c r="H78" s="98"/>
      <c r="I78" s="157"/>
      <c r="J78" s="271"/>
      <c r="K78" s="271"/>
      <c r="L78" s="271"/>
      <c r="M78" s="271"/>
      <c r="N78" s="271"/>
      <c r="O78" s="271"/>
      <c r="P78" s="271"/>
      <c r="Q78" s="271"/>
      <c r="R78" s="271"/>
      <c r="S78" s="271"/>
      <c r="T78" s="271"/>
      <c r="U78" s="271"/>
      <c r="V78" s="214">
        <v>2</v>
      </c>
      <c r="W78" s="157"/>
    </row>
    <row r="79" spans="1:23" ht="15">
      <c r="A79" s="100" t="str">
        <f>НАЧАЛО!$C$49</f>
        <v>Заверил:</v>
      </c>
      <c r="B79" s="99"/>
      <c r="C79" s="156"/>
      <c r="D79" s="156"/>
      <c r="E79" s="156"/>
      <c r="F79" s="157"/>
      <c r="G79" s="98"/>
      <c r="H79" s="98"/>
      <c r="I79" s="157"/>
      <c r="J79" s="271"/>
      <c r="K79" s="271"/>
      <c r="L79" s="271"/>
      <c r="M79" s="271"/>
      <c r="N79" s="271"/>
      <c r="O79" s="271"/>
      <c r="P79" s="271"/>
      <c r="Q79" s="271"/>
      <c r="R79" s="271"/>
      <c r="S79" s="271"/>
      <c r="T79" s="271"/>
      <c r="U79" s="271"/>
      <c r="V79" s="214">
        <v>2</v>
      </c>
      <c r="W79" s="157"/>
    </row>
    <row r="80" spans="1:23" ht="15">
      <c r="A80" s="96" t="str">
        <f>НАЧАЛО!$C$51</f>
        <v>СОП „Ейч Ел Би България” ООД</v>
      </c>
      <c r="B80" s="98"/>
      <c r="C80" s="156"/>
      <c r="D80" s="156"/>
      <c r="E80" s="156"/>
      <c r="F80" s="157"/>
      <c r="G80" s="98"/>
      <c r="H80" s="98"/>
      <c r="I80" s="157"/>
      <c r="J80" s="271"/>
      <c r="K80" s="271"/>
      <c r="L80" s="271"/>
      <c r="M80" s="271"/>
      <c r="N80" s="271"/>
      <c r="O80" s="271"/>
      <c r="P80" s="271"/>
      <c r="Q80" s="271"/>
      <c r="R80" s="271"/>
      <c r="S80" s="271"/>
      <c r="T80" s="271"/>
      <c r="U80" s="271"/>
      <c r="V80" s="214">
        <v>2</v>
      </c>
      <c r="W80" s="157"/>
    </row>
    <row r="81" spans="1:23" ht="12.75" customHeight="1">
      <c r="A81" s="102"/>
      <c r="B81" s="158"/>
      <c r="C81" s="156"/>
      <c r="D81" s="156"/>
      <c r="E81" s="156"/>
      <c r="F81" s="157"/>
      <c r="G81" s="98"/>
      <c r="H81" s="98"/>
      <c r="I81" s="157"/>
      <c r="J81" s="271"/>
      <c r="K81" s="271"/>
      <c r="L81" s="271"/>
      <c r="M81" s="271"/>
      <c r="N81" s="271"/>
      <c r="O81" s="271"/>
      <c r="P81" s="271"/>
      <c r="Q81" s="271"/>
      <c r="R81" s="271"/>
      <c r="S81" s="271"/>
      <c r="T81" s="271"/>
      <c r="U81" s="271"/>
      <c r="V81" s="214">
        <v>2</v>
      </c>
      <c r="W81" s="157"/>
    </row>
    <row r="82" spans="1:23" ht="15">
      <c r="A82" s="96" t="str">
        <f>НАЧАЛО!$C$57</f>
        <v>София, 29 януари 2010 г.</v>
      </c>
      <c r="B82" s="98"/>
      <c r="C82" s="156"/>
      <c r="D82" s="156"/>
      <c r="E82" s="156"/>
      <c r="F82" s="157"/>
      <c r="G82" s="98"/>
      <c r="H82" s="98"/>
      <c r="I82" s="157"/>
      <c r="J82" s="271"/>
      <c r="K82" s="271"/>
      <c r="L82" s="271"/>
      <c r="M82" s="271"/>
      <c r="N82" s="271"/>
      <c r="O82" s="271"/>
      <c r="P82" s="271"/>
      <c r="Q82" s="271"/>
      <c r="R82" s="271"/>
      <c r="S82" s="271"/>
      <c r="T82" s="271"/>
      <c r="U82" s="271"/>
      <c r="V82" s="214">
        <v>2</v>
      </c>
      <c r="W82" s="157"/>
    </row>
    <row r="83" spans="1:2" ht="15" hidden="1">
      <c r="A83" s="116"/>
      <c r="B83" s="116"/>
    </row>
    <row r="84" ht="12.75" hidden="1"/>
    <row r="85" spans="1:2" ht="15" hidden="1">
      <c r="A85" s="119"/>
      <c r="B85" s="119"/>
    </row>
  </sheetData>
  <sheetProtection password="DC9E" sheet="1" objects="1" formatRows="0"/>
  <mergeCells count="2">
    <mergeCell ref="A59:C59"/>
    <mergeCell ref="A72:C72"/>
  </mergeCells>
  <conditionalFormatting sqref="A1:I82">
    <cfRule type="expression" priority="11" dxfId="0" stopIfTrue="1">
      <formula>JJ21&lt;&gt;JK21</formula>
    </cfRule>
    <cfRule type="expression" priority="12" dxfId="0" stopIfTrue="1">
      <formula>JJ22&gt;JK22</formula>
    </cfRule>
  </conditionalFormatting>
  <conditionalFormatting sqref="A71">
    <cfRule type="expression" priority="6" dxfId="15" stopIfTrue="1">
      <formula>JJ61=JK61</formula>
    </cfRule>
  </conditionalFormatting>
  <conditionalFormatting sqref="A58">
    <cfRule type="expression" priority="4" dxfId="0" stopIfTrue="1">
      <formula>JJ31&lt;&gt;JK31</formula>
    </cfRule>
    <cfRule type="expression" priority="5" dxfId="0" stopIfTrue="1">
      <formula>JJ32&gt;JK32</formula>
    </cfRule>
  </conditionalFormatting>
  <conditionalFormatting sqref="A18:I18">
    <cfRule type="expression" priority="1" dxfId="0" stopIfTrue="1">
      <formula>JJ21&lt;&gt;JK21</formula>
    </cfRule>
    <cfRule type="expression" priority="2" dxfId="0" stopIfTrue="1">
      <formula>JJ22&gt;JK22</formula>
    </cfRule>
  </conditionalFormatting>
  <conditionalFormatting sqref="A58">
    <cfRule type="expression" priority="3" dxfId="92" stopIfTrue="1">
      <formula>O58&gt;0</formula>
    </cfRule>
  </conditionalFormatting>
  <dataValidations count="1">
    <dataValidation type="list" allowBlank="1" showInputMessage="1" showErrorMessage="1" sqref="W8:W12 W14 W16 W18 W22:W28 W30:W34 W36 W38 W40 W42 W44 W46:W48 W50 W52 W54:W56 W63:W65 W67:W69">
      <formula1>$P$57:$P$58</formula1>
    </dataValidation>
  </dataValidations>
  <printOptions horizontalCentered="1"/>
  <pageMargins left="0.7480314960629921" right="0.7480314960629921" top="0.4724409448818898" bottom="0.2755905511811024" header="0.3937007874015748" footer="0.1968503937007874"/>
  <pageSetup firstPageNumber="1" useFirstPageNumber="1" horizontalDpi="600" verticalDpi="600" orientation="portrait" paperSize="9" scale="90" r:id="rId2"/>
  <legacyDrawing r:id="rId1"/>
</worksheet>
</file>

<file path=xl/worksheets/sheet4.xml><?xml version="1.0" encoding="utf-8"?>
<worksheet xmlns="http://schemas.openxmlformats.org/spreadsheetml/2006/main" xmlns:r="http://schemas.openxmlformats.org/officeDocument/2006/relationships">
  <sheetPr codeName="Sheet34"/>
  <dimension ref="A1:AC42"/>
  <sheetViews>
    <sheetView zoomScaleSheetLayoutView="80" zoomScalePageLayoutView="0" workbookViewId="0" topLeftCell="A1">
      <pane ySplit="1" topLeftCell="BM2" activePane="bottomLeft" state="frozen"/>
      <selection pane="topLeft" activeCell="A4" sqref="A4"/>
      <selection pane="bottomLeft" activeCell="A4" sqref="A4"/>
    </sheetView>
  </sheetViews>
  <sheetFormatPr defaultColWidth="9.140625" defaultRowHeight="12.75"/>
  <cols>
    <col min="1" max="1" width="50.7109375" style="109" customWidth="1"/>
    <col min="2" max="2" width="1.7109375" style="109" customWidth="1"/>
    <col min="3" max="3" width="10.140625" style="117" bestFit="1" customWidth="1"/>
    <col min="4" max="4" width="1.7109375" style="117" hidden="1" customWidth="1"/>
    <col min="5" max="5" width="1.7109375" style="117" customWidth="1"/>
    <col min="6" max="6" width="12.7109375" style="118" customWidth="1"/>
    <col min="7" max="7" width="1.7109375" style="109" hidden="1" customWidth="1"/>
    <col min="8" max="8" width="1.7109375" style="109" customWidth="1"/>
    <col min="9" max="9" width="12.7109375" style="118" customWidth="1"/>
    <col min="10" max="21" width="1.7109375" style="118" hidden="1" customWidth="1"/>
    <col min="22" max="22" width="1.7109375" style="216" hidden="1" customWidth="1"/>
    <col min="23" max="23" width="1.7109375" style="118" customWidth="1"/>
    <col min="24" max="16384" width="9.140625" style="109" customWidth="1"/>
  </cols>
  <sheetData>
    <row r="1" spans="1:29" ht="18" customHeight="1">
      <c r="A1" s="296" t="str">
        <f>НАЧАЛО!B3</f>
        <v>ЖЕЛЕЗОПЪТНА ИНФРАСТРУКТУРА ХОЛДИНГОВО ДРУЖЕСТВО АД</v>
      </c>
      <c r="B1" s="296"/>
      <c r="C1" s="297"/>
      <c r="D1" s="297"/>
      <c r="E1" s="297"/>
      <c r="F1" s="297"/>
      <c r="G1" s="297"/>
      <c r="H1" s="297"/>
      <c r="I1" s="297"/>
      <c r="J1" s="75"/>
      <c r="K1" s="75"/>
      <c r="L1" s="75"/>
      <c r="M1" s="75"/>
      <c r="N1" s="75"/>
      <c r="O1" s="75"/>
      <c r="P1" s="75"/>
      <c r="Q1" s="75"/>
      <c r="R1" s="75"/>
      <c r="S1" s="75"/>
      <c r="T1" s="75"/>
      <c r="U1" s="75"/>
      <c r="V1" s="214">
        <v>2</v>
      </c>
      <c r="W1" s="75"/>
      <c r="X1" s="306"/>
      <c r="Y1" s="306"/>
      <c r="Z1" s="306"/>
      <c r="AA1" s="306"/>
      <c r="AB1" s="306"/>
      <c r="AC1" s="306"/>
    </row>
    <row r="2" spans="1:23" s="110" customFormat="1" ht="15">
      <c r="A2" s="301" t="str">
        <f>НАЧАЛО!AA18</f>
        <v>ОТЧЕТ ЗА ВСЕОБХВАТНИЯ ДОХОД за 2009 година</v>
      </c>
      <c r="B2" s="301"/>
      <c r="C2" s="327"/>
      <c r="D2" s="327"/>
      <c r="E2" s="327"/>
      <c r="F2" s="327"/>
      <c r="G2" s="327"/>
      <c r="H2" s="327"/>
      <c r="I2" s="327"/>
      <c r="J2" s="270"/>
      <c r="K2" s="270"/>
      <c r="L2" s="270"/>
      <c r="M2" s="270"/>
      <c r="N2" s="270"/>
      <c r="O2" s="270"/>
      <c r="P2" s="270"/>
      <c r="Q2" s="270"/>
      <c r="R2" s="270"/>
      <c r="S2" s="270"/>
      <c r="T2" s="270"/>
      <c r="U2" s="270"/>
      <c r="V2" s="214">
        <v>2</v>
      </c>
      <c r="W2" s="270"/>
    </row>
    <row r="3" spans="1:23" ht="9" customHeight="1">
      <c r="A3" s="121"/>
      <c r="B3" s="121"/>
      <c r="C3" s="122"/>
      <c r="D3" s="122"/>
      <c r="E3" s="122"/>
      <c r="F3" s="123"/>
      <c r="G3" s="124"/>
      <c r="H3" s="124"/>
      <c r="I3" s="123"/>
      <c r="J3" s="271"/>
      <c r="K3" s="271"/>
      <c r="L3" s="271"/>
      <c r="M3" s="271"/>
      <c r="N3" s="271"/>
      <c r="O3" s="271"/>
      <c r="P3" s="271"/>
      <c r="Q3" s="271"/>
      <c r="R3" s="271"/>
      <c r="S3" s="271"/>
      <c r="T3" s="271"/>
      <c r="U3" s="271"/>
      <c r="V3" s="214">
        <v>2</v>
      </c>
      <c r="W3" s="271"/>
    </row>
    <row r="4" spans="1:23" ht="15.75" customHeight="1">
      <c r="A4" s="125"/>
      <c r="B4" s="125"/>
      <c r="C4" s="125"/>
      <c r="D4" s="125"/>
      <c r="E4" s="125"/>
      <c r="F4" s="111" t="str">
        <f>НАЧАЛО!AD1&amp;" г."</f>
        <v>2009 г.</v>
      </c>
      <c r="G4" s="126"/>
      <c r="H4" s="126"/>
      <c r="I4" s="111" t="str">
        <f>НАЧАЛО!AF1&amp;" г."</f>
        <v>2008 г.</v>
      </c>
      <c r="J4" s="272"/>
      <c r="K4" s="272"/>
      <c r="L4" s="272"/>
      <c r="M4" s="272"/>
      <c r="N4" s="272"/>
      <c r="O4" s="272"/>
      <c r="P4" s="272"/>
      <c r="Q4" s="272"/>
      <c r="R4" s="272"/>
      <c r="S4" s="272"/>
      <c r="T4" s="272"/>
      <c r="U4" s="272"/>
      <c r="V4" s="214">
        <v>2</v>
      </c>
      <c r="W4" s="272"/>
    </row>
    <row r="5" spans="1:23" ht="15.75" customHeight="1">
      <c r="A5" s="125"/>
      <c r="B5" s="125"/>
      <c r="C5" s="127" t="s">
        <v>131</v>
      </c>
      <c r="D5" s="127"/>
      <c r="E5" s="127"/>
      <c r="F5" s="126" t="s">
        <v>141</v>
      </c>
      <c r="G5" s="46"/>
      <c r="H5" s="46"/>
      <c r="I5" s="126" t="s">
        <v>141</v>
      </c>
      <c r="J5" s="273"/>
      <c r="K5" s="273"/>
      <c r="L5" s="273"/>
      <c r="M5" s="273"/>
      <c r="N5" s="273"/>
      <c r="O5" s="273"/>
      <c r="P5" s="273"/>
      <c r="Q5" s="273"/>
      <c r="R5" s="273"/>
      <c r="S5" s="273"/>
      <c r="T5" s="273"/>
      <c r="U5" s="273"/>
      <c r="V5" s="214">
        <v>2</v>
      </c>
      <c r="W5" s="273"/>
    </row>
    <row r="6" spans="1:23" ht="15.75">
      <c r="A6" s="66"/>
      <c r="B6" s="66"/>
      <c r="C6" s="127"/>
      <c r="D6" s="127"/>
      <c r="E6" s="127"/>
      <c r="F6" s="128"/>
      <c r="G6" s="129"/>
      <c r="H6" s="129"/>
      <c r="I6" s="128"/>
      <c r="J6" s="274"/>
      <c r="K6" s="274"/>
      <c r="L6" s="274"/>
      <c r="M6" s="274"/>
      <c r="N6" s="274"/>
      <c r="O6" s="274"/>
      <c r="P6" s="274"/>
      <c r="Q6" s="274"/>
      <c r="R6" s="274"/>
      <c r="S6" s="274"/>
      <c r="T6" s="274"/>
      <c r="U6" s="274"/>
      <c r="V6" s="214">
        <v>2</v>
      </c>
      <c r="W6" s="274"/>
    </row>
    <row r="7" spans="1:23" ht="6.75" customHeight="1">
      <c r="A7" s="125"/>
      <c r="B7" s="125"/>
      <c r="C7" s="130"/>
      <c r="D7" s="130"/>
      <c r="E7" s="130"/>
      <c r="F7" s="128"/>
      <c r="G7" s="129"/>
      <c r="H7" s="129"/>
      <c r="I7" s="128"/>
      <c r="J7" s="274"/>
      <c r="K7" s="274"/>
      <c r="L7" s="274"/>
      <c r="M7" s="274"/>
      <c r="N7" s="274"/>
      <c r="O7" s="274"/>
      <c r="P7" s="274"/>
      <c r="Q7" s="274"/>
      <c r="R7" s="274"/>
      <c r="S7" s="274"/>
      <c r="T7" s="274"/>
      <c r="U7" s="274"/>
      <c r="V7" s="214">
        <v>2</v>
      </c>
      <c r="W7" s="274"/>
    </row>
    <row r="8" spans="1:23" s="13" customFormat="1" ht="15">
      <c r="A8" s="131" t="s">
        <v>182</v>
      </c>
      <c r="B8" s="70"/>
      <c r="C8" s="159"/>
      <c r="D8" s="105"/>
      <c r="E8" s="105"/>
      <c r="F8" s="133">
        <f>ОД!F54</f>
        <v>-419</v>
      </c>
      <c r="G8" s="134"/>
      <c r="H8" s="134"/>
      <c r="I8" s="133">
        <f>ОД!I54</f>
        <v>-841</v>
      </c>
      <c r="J8" s="275"/>
      <c r="K8" s="275"/>
      <c r="L8" s="275"/>
      <c r="M8" s="275"/>
      <c r="N8" s="275"/>
      <c r="O8" s="275"/>
      <c r="P8" s="275"/>
      <c r="Q8" s="275"/>
      <c r="R8" s="275"/>
      <c r="S8" s="275"/>
      <c r="T8" s="275"/>
      <c r="U8" s="275"/>
      <c r="V8" s="214">
        <v>2</v>
      </c>
      <c r="W8" s="339"/>
    </row>
    <row r="9" spans="1:23" ht="6.75" customHeight="1" hidden="1">
      <c r="A9" s="125"/>
      <c r="B9" s="125"/>
      <c r="C9" s="130"/>
      <c r="D9" s="130"/>
      <c r="E9" s="130"/>
      <c r="F9" s="128"/>
      <c r="G9" s="129"/>
      <c r="H9" s="129"/>
      <c r="I9" s="128"/>
      <c r="J9" s="274"/>
      <c r="K9" s="274"/>
      <c r="L9" s="274"/>
      <c r="M9" s="274"/>
      <c r="N9" s="274"/>
      <c r="O9" s="274"/>
      <c r="P9" s="274"/>
      <c r="Q9" s="274"/>
      <c r="R9" s="274"/>
      <c r="S9" s="274"/>
      <c r="T9" s="274"/>
      <c r="U9" s="274"/>
      <c r="V9" s="214">
        <f>IF(V10=0,0,V10)</f>
        <v>0</v>
      </c>
      <c r="W9" s="274"/>
    </row>
    <row r="10" spans="1:23" s="13" customFormat="1" ht="15.75" customHeight="1" hidden="1">
      <c r="A10" s="131" t="s">
        <v>57</v>
      </c>
      <c r="B10" s="70"/>
      <c r="C10" s="159">
        <f>IF(AND(F10=0,I10=0),"",CONCATENATE("2.3.",D10,"."))</f>
      </c>
      <c r="D10" s="105">
        <f>IF(AND(F10=0,I10=0),0,MAX(D$7:D7)+1)</f>
        <v>0</v>
      </c>
      <c r="E10" s="105"/>
      <c r="F10" s="133">
        <f>SUM(F11:F20)</f>
        <v>0</v>
      </c>
      <c r="G10" s="134"/>
      <c r="H10" s="134"/>
      <c r="I10" s="133">
        <f>SUM(I11:I20)</f>
        <v>0</v>
      </c>
      <c r="J10" s="275"/>
      <c r="K10" s="275"/>
      <c r="L10" s="275"/>
      <c r="M10" s="275"/>
      <c r="N10" s="275"/>
      <c r="O10" s="275"/>
      <c r="P10" s="275"/>
      <c r="Q10" s="275"/>
      <c r="R10" s="275"/>
      <c r="S10" s="275"/>
      <c r="T10" s="275"/>
      <c r="U10" s="275"/>
      <c r="V10" s="214">
        <f>IF(AND(F10=0,I10=0),0,1)</f>
        <v>0</v>
      </c>
      <c r="W10" s="339"/>
    </row>
    <row r="11" spans="1:23" s="13" customFormat="1" ht="15" customHeight="1" hidden="1">
      <c r="A11" s="79" t="s">
        <v>113</v>
      </c>
      <c r="B11" s="59"/>
      <c r="C11" s="52"/>
      <c r="D11" s="107"/>
      <c r="E11" s="107"/>
      <c r="F11" s="114"/>
      <c r="G11" s="113"/>
      <c r="H11" s="113"/>
      <c r="I11" s="114"/>
      <c r="J11" s="276"/>
      <c r="K11" s="276"/>
      <c r="L11" s="276"/>
      <c r="M11" s="276"/>
      <c r="N11" s="276"/>
      <c r="O11" s="276"/>
      <c r="P11" s="276"/>
      <c r="Q11" s="276"/>
      <c r="R11" s="276"/>
      <c r="S11" s="276"/>
      <c r="T11" s="276"/>
      <c r="U11" s="276"/>
      <c r="V11" s="214">
        <f>IF(AND(F11=0,I11=0),0,1)</f>
        <v>0</v>
      </c>
      <c r="W11" s="339"/>
    </row>
    <row r="12" spans="1:23" s="13" customFormat="1" ht="30" hidden="1">
      <c r="A12" s="79" t="s">
        <v>60</v>
      </c>
      <c r="B12" s="59"/>
      <c r="C12" s="52"/>
      <c r="D12" s="107"/>
      <c r="E12" s="107"/>
      <c r="F12" s="114"/>
      <c r="G12" s="113"/>
      <c r="H12" s="113"/>
      <c r="I12" s="114"/>
      <c r="J12" s="276"/>
      <c r="K12" s="276"/>
      <c r="L12" s="276"/>
      <c r="M12" s="276"/>
      <c r="N12" s="276"/>
      <c r="O12" s="276"/>
      <c r="P12" s="276"/>
      <c r="Q12" s="276"/>
      <c r="R12" s="276"/>
      <c r="S12" s="276"/>
      <c r="T12" s="276"/>
      <c r="U12" s="276"/>
      <c r="V12" s="214">
        <f aca="true" t="shared" si="0" ref="V12:V20">IF(AND(F12=0,I12=0),0,1)</f>
        <v>0</v>
      </c>
      <c r="W12" s="339"/>
    </row>
    <row r="13" spans="1:23" s="13" customFormat="1" ht="15" hidden="1">
      <c r="A13" s="79" t="s">
        <v>62</v>
      </c>
      <c r="B13" s="59"/>
      <c r="C13" s="52"/>
      <c r="D13" s="107"/>
      <c r="E13" s="107"/>
      <c r="F13" s="114"/>
      <c r="G13" s="113"/>
      <c r="H13" s="113"/>
      <c r="I13" s="114"/>
      <c r="J13" s="276"/>
      <c r="K13" s="276"/>
      <c r="L13" s="276"/>
      <c r="M13" s="276"/>
      <c r="N13" s="276"/>
      <c r="O13" s="276"/>
      <c r="P13" s="276"/>
      <c r="Q13" s="276"/>
      <c r="R13" s="276"/>
      <c r="S13" s="276"/>
      <c r="T13" s="276"/>
      <c r="U13" s="276"/>
      <c r="V13" s="214">
        <f t="shared" si="0"/>
        <v>0</v>
      </c>
      <c r="W13" s="339"/>
    </row>
    <row r="14" spans="1:23" s="13" customFormat="1" ht="15" customHeight="1" hidden="1">
      <c r="A14" s="79" t="s">
        <v>63</v>
      </c>
      <c r="B14" s="59"/>
      <c r="C14" s="52"/>
      <c r="D14" s="107"/>
      <c r="E14" s="107"/>
      <c r="F14" s="114"/>
      <c r="G14" s="113"/>
      <c r="H14" s="113"/>
      <c r="I14" s="114"/>
      <c r="J14" s="276"/>
      <c r="K14" s="276"/>
      <c r="L14" s="276"/>
      <c r="M14" s="276"/>
      <c r="N14" s="276"/>
      <c r="O14" s="276"/>
      <c r="P14" s="276"/>
      <c r="Q14" s="276"/>
      <c r="R14" s="276"/>
      <c r="S14" s="276"/>
      <c r="T14" s="276"/>
      <c r="U14" s="276"/>
      <c r="V14" s="214">
        <f t="shared" si="0"/>
        <v>0</v>
      </c>
      <c r="W14" s="339"/>
    </row>
    <row r="15" spans="1:23" s="13" customFormat="1" ht="15" customHeight="1" hidden="1">
      <c r="A15" s="79" t="s">
        <v>64</v>
      </c>
      <c r="B15" s="59"/>
      <c r="C15" s="52"/>
      <c r="D15" s="107"/>
      <c r="E15" s="107"/>
      <c r="F15" s="114"/>
      <c r="G15" s="113"/>
      <c r="H15" s="113"/>
      <c r="I15" s="114"/>
      <c r="J15" s="276"/>
      <c r="K15" s="276"/>
      <c r="L15" s="276"/>
      <c r="M15" s="276"/>
      <c r="N15" s="276"/>
      <c r="O15" s="276"/>
      <c r="P15" s="276"/>
      <c r="Q15" s="276"/>
      <c r="R15" s="276"/>
      <c r="S15" s="276"/>
      <c r="T15" s="276"/>
      <c r="U15" s="276"/>
      <c r="V15" s="214">
        <f t="shared" si="0"/>
        <v>0</v>
      </c>
      <c r="W15" s="339"/>
    </row>
    <row r="16" spans="1:23" s="13" customFormat="1" ht="15" customHeight="1" hidden="1">
      <c r="A16" s="79" t="s">
        <v>56</v>
      </c>
      <c r="B16" s="59"/>
      <c r="C16" s="52"/>
      <c r="D16" s="107"/>
      <c r="E16" s="107"/>
      <c r="F16" s="114"/>
      <c r="G16" s="113"/>
      <c r="H16" s="113"/>
      <c r="I16" s="114"/>
      <c r="J16" s="276"/>
      <c r="K16" s="276"/>
      <c r="L16" s="276"/>
      <c r="M16" s="276"/>
      <c r="N16" s="276"/>
      <c r="O16" s="276"/>
      <c r="P16" s="276"/>
      <c r="Q16" s="276"/>
      <c r="R16" s="276"/>
      <c r="S16" s="276"/>
      <c r="T16" s="276"/>
      <c r="U16" s="276"/>
      <c r="V16" s="214">
        <f t="shared" si="0"/>
        <v>0</v>
      </c>
      <c r="W16" s="339"/>
    </row>
    <row r="17" spans="1:23" s="13" customFormat="1" ht="30" customHeight="1" hidden="1">
      <c r="A17" s="79" t="s">
        <v>123</v>
      </c>
      <c r="B17" s="59"/>
      <c r="C17" s="52"/>
      <c r="D17" s="107"/>
      <c r="E17" s="107"/>
      <c r="F17" s="114"/>
      <c r="G17" s="113"/>
      <c r="H17" s="113"/>
      <c r="I17" s="114"/>
      <c r="J17" s="276"/>
      <c r="K17" s="276"/>
      <c r="L17" s="276"/>
      <c r="M17" s="276"/>
      <c r="N17" s="276"/>
      <c r="O17" s="276"/>
      <c r="P17" s="276"/>
      <c r="Q17" s="276"/>
      <c r="R17" s="276"/>
      <c r="S17" s="276"/>
      <c r="T17" s="276"/>
      <c r="U17" s="276"/>
      <c r="V17" s="214">
        <f t="shared" si="0"/>
        <v>0</v>
      </c>
      <c r="W17" s="339"/>
    </row>
    <row r="18" spans="1:23" s="13" customFormat="1" ht="30" customHeight="1" hidden="1">
      <c r="A18" s="79" t="s">
        <v>125</v>
      </c>
      <c r="B18" s="59"/>
      <c r="C18" s="52"/>
      <c r="D18" s="107"/>
      <c r="E18" s="107"/>
      <c r="F18" s="114"/>
      <c r="G18" s="113"/>
      <c r="H18" s="113"/>
      <c r="I18" s="114"/>
      <c r="J18" s="276"/>
      <c r="K18" s="276"/>
      <c r="L18" s="276"/>
      <c r="M18" s="276"/>
      <c r="N18" s="276"/>
      <c r="O18" s="276"/>
      <c r="P18" s="276"/>
      <c r="Q18" s="276"/>
      <c r="R18" s="276"/>
      <c r="S18" s="276"/>
      <c r="T18" s="276"/>
      <c r="U18" s="276"/>
      <c r="V18" s="214">
        <f t="shared" si="0"/>
        <v>0</v>
      </c>
      <c r="W18" s="339"/>
    </row>
    <row r="19" spans="1:23" s="13" customFormat="1" ht="30" customHeight="1" hidden="1">
      <c r="A19" s="79" t="s">
        <v>124</v>
      </c>
      <c r="B19" s="59"/>
      <c r="C19" s="52"/>
      <c r="D19" s="107"/>
      <c r="E19" s="107"/>
      <c r="F19" s="114"/>
      <c r="G19" s="113"/>
      <c r="H19" s="113"/>
      <c r="I19" s="114"/>
      <c r="J19" s="276"/>
      <c r="K19" s="276"/>
      <c r="L19" s="276"/>
      <c r="M19" s="276"/>
      <c r="N19" s="276"/>
      <c r="O19" s="276"/>
      <c r="P19" s="276"/>
      <c r="Q19" s="276"/>
      <c r="R19" s="276"/>
      <c r="S19" s="276"/>
      <c r="T19" s="276"/>
      <c r="U19" s="276"/>
      <c r="V19" s="214">
        <f t="shared" si="0"/>
        <v>0</v>
      </c>
      <c r="W19" s="339"/>
    </row>
    <row r="20" spans="1:23" s="13" customFormat="1" ht="15" customHeight="1" hidden="1">
      <c r="A20" s="345" t="s">
        <v>61</v>
      </c>
      <c r="B20" s="59"/>
      <c r="C20" s="52"/>
      <c r="D20" s="107"/>
      <c r="E20" s="107"/>
      <c r="F20" s="114"/>
      <c r="G20" s="113"/>
      <c r="H20" s="113"/>
      <c r="I20" s="114"/>
      <c r="J20" s="276"/>
      <c r="K20" s="276"/>
      <c r="L20" s="276"/>
      <c r="M20" s="276"/>
      <c r="N20" s="276"/>
      <c r="O20" s="276"/>
      <c r="P20" s="276"/>
      <c r="Q20" s="276"/>
      <c r="R20" s="276"/>
      <c r="S20" s="276"/>
      <c r="T20" s="276"/>
      <c r="U20" s="276"/>
      <c r="V20" s="214">
        <f t="shared" si="0"/>
        <v>0</v>
      </c>
      <c r="W20" s="339"/>
    </row>
    <row r="21" spans="1:23" s="13" customFormat="1" ht="6.75" customHeight="1">
      <c r="A21" s="59"/>
      <c r="B21" s="59"/>
      <c r="C21" s="52"/>
      <c r="D21" s="107"/>
      <c r="E21" s="107"/>
      <c r="F21" s="60"/>
      <c r="G21" s="134"/>
      <c r="H21" s="134"/>
      <c r="I21" s="60"/>
      <c r="J21" s="279"/>
      <c r="K21" s="279"/>
      <c r="L21" s="279"/>
      <c r="M21" s="279"/>
      <c r="N21" s="279"/>
      <c r="O21" s="279"/>
      <c r="P21" s="279"/>
      <c r="Q21" s="279"/>
      <c r="R21" s="279"/>
      <c r="S21" s="279"/>
      <c r="T21" s="279"/>
      <c r="U21" s="279"/>
      <c r="V21" s="214">
        <v>2</v>
      </c>
      <c r="W21" s="279"/>
    </row>
    <row r="22" spans="1:23" s="13" customFormat="1" ht="15.75" thickBot="1">
      <c r="A22" s="140" t="s">
        <v>90</v>
      </c>
      <c r="B22" s="46"/>
      <c r="C22" s="141"/>
      <c r="D22" s="107"/>
      <c r="E22" s="107"/>
      <c r="F22" s="142">
        <f>F8+F10</f>
        <v>-419</v>
      </c>
      <c r="G22" s="134"/>
      <c r="H22" s="134"/>
      <c r="I22" s="142">
        <f>I8+I10</f>
        <v>-841</v>
      </c>
      <c r="J22" s="275"/>
      <c r="K22" s="275"/>
      <c r="L22" s="275"/>
      <c r="M22" s="275"/>
      <c r="N22" s="275"/>
      <c r="O22" s="275"/>
      <c r="P22" s="275"/>
      <c r="Q22" s="275"/>
      <c r="R22" s="275"/>
      <c r="S22" s="275"/>
      <c r="T22" s="275"/>
      <c r="U22" s="275"/>
      <c r="V22" s="214">
        <v>2</v>
      </c>
      <c r="W22" s="339"/>
    </row>
    <row r="23" spans="1:23" s="13" customFormat="1" ht="16.5" hidden="1" thickBot="1" thickTop="1">
      <c r="A23" s="140" t="s">
        <v>91</v>
      </c>
      <c r="B23" s="46"/>
      <c r="C23" s="141"/>
      <c r="D23" s="107"/>
      <c r="E23" s="107"/>
      <c r="F23" s="215">
        <f>F22-F24</f>
        <v>-419</v>
      </c>
      <c r="G23" s="134"/>
      <c r="H23" s="134"/>
      <c r="I23" s="215">
        <f>I22-I24</f>
        <v>-841</v>
      </c>
      <c r="J23" s="280"/>
      <c r="K23" s="280"/>
      <c r="L23" s="280"/>
      <c r="M23" s="280"/>
      <c r="N23" s="280"/>
      <c r="O23" s="280"/>
      <c r="P23" s="280"/>
      <c r="Q23" s="280"/>
      <c r="R23" s="280"/>
      <c r="S23" s="280"/>
      <c r="T23" s="280"/>
      <c r="U23" s="280"/>
      <c r="V23" s="214">
        <f>IF(НАЧАЛО!O34="КК",IF(AND(F23=0,I23=0),0,1),4)</f>
        <v>4</v>
      </c>
      <c r="W23" s="339"/>
    </row>
    <row r="24" spans="1:23" s="13" customFormat="1" ht="16.5" hidden="1" thickBot="1" thickTop="1">
      <c r="A24" s="140" t="s">
        <v>120</v>
      </c>
      <c r="B24" s="46"/>
      <c r="C24" s="141"/>
      <c r="D24" s="107"/>
      <c r="E24" s="107"/>
      <c r="F24" s="331"/>
      <c r="G24" s="113"/>
      <c r="H24" s="113"/>
      <c r="I24" s="331"/>
      <c r="J24" s="275"/>
      <c r="K24" s="275"/>
      <c r="L24" s="275"/>
      <c r="M24" s="275"/>
      <c r="N24" s="275"/>
      <c r="O24" s="275"/>
      <c r="P24" s="275"/>
      <c r="Q24" s="275"/>
      <c r="R24" s="275"/>
      <c r="S24" s="275"/>
      <c r="T24" s="275"/>
      <c r="U24" s="275"/>
      <c r="V24" s="214">
        <f>IF(НАЧАЛО!O34="КК",IF(AND(F24=0,I24=0),0,1),4)</f>
        <v>4</v>
      </c>
      <c r="W24" s="339"/>
    </row>
    <row r="25" spans="1:23" s="13" customFormat="1" ht="15.75" thickTop="1">
      <c r="A25" s="435">
        <f>IF(AND(F$25="",I$25=""),"","Разлика в общия всеобхватен доход между ОВД и ОСК!")</f>
      </c>
      <c r="B25" s="435"/>
      <c r="C25" s="435"/>
      <c r="D25" s="374"/>
      <c r="E25" s="374"/>
      <c r="F25" s="148">
        <f>IF(F22=СК!$S71,"",ОВД!F22-СК!$S71)</f>
      </c>
      <c r="G25" s="375"/>
      <c r="H25" s="375"/>
      <c r="I25" s="148">
        <f>IF(I22=СК!$S29,"",ОВД!I22-СК!$S29)</f>
      </c>
      <c r="J25" s="275"/>
      <c r="K25" s="275"/>
      <c r="L25" s="275"/>
      <c r="M25" s="275"/>
      <c r="N25" s="275"/>
      <c r="O25" s="275"/>
      <c r="P25" s="371"/>
      <c r="Q25" s="275"/>
      <c r="R25" s="275"/>
      <c r="S25" s="275"/>
      <c r="T25" s="275"/>
      <c r="U25" s="275"/>
      <c r="V25" s="214">
        <v>2</v>
      </c>
      <c r="W25" s="373"/>
    </row>
    <row r="26" spans="1:23" s="13" customFormat="1" ht="15">
      <c r="A26" s="350" t="s">
        <v>94</v>
      </c>
      <c r="B26" s="348"/>
      <c r="C26" s="388">
        <f>IF(AND(F$25="",I$25=""),"","ОВД в ОСК:")</f>
      </c>
      <c r="D26" s="374"/>
      <c r="E26" s="374"/>
      <c r="F26" s="151">
        <f>IF(F$22=СК!$S71,"",СК!$S71)</f>
      </c>
      <c r="G26" s="375"/>
      <c r="H26" s="375"/>
      <c r="I26" s="151">
        <f>IF(I$22=СК!$S29,"",СК!$S29)</f>
      </c>
      <c r="J26" s="275"/>
      <c r="K26" s="275"/>
      <c r="L26" s="275"/>
      <c r="M26" s="275"/>
      <c r="N26" s="275"/>
      <c r="O26" s="275">
        <f>COUNTA(W8:W24)</f>
        <v>0</v>
      </c>
      <c r="P26" s="371" t="s">
        <v>88</v>
      </c>
      <c r="Q26" s="275"/>
      <c r="R26" s="275"/>
      <c r="S26" s="275"/>
      <c r="T26" s="275"/>
      <c r="U26" s="275"/>
      <c r="V26" s="214">
        <v>2</v>
      </c>
      <c r="W26" s="373"/>
    </row>
    <row r="27" spans="1:23" s="13" customFormat="1" ht="15" customHeight="1">
      <c r="A27" s="435">
        <f>IF(AND(F$27="",I$27=""),"","Разлика във всеобхватния доход за МУ между ОВД и ОСК!")</f>
      </c>
      <c r="B27" s="435"/>
      <c r="C27" s="435"/>
      <c r="D27" s="304"/>
      <c r="E27" s="304"/>
      <c r="F27" s="148">
        <f>IF(F24=СК!$Q71,"",ОВД!F24-СК!$Q71)</f>
      </c>
      <c r="G27" s="149"/>
      <c r="H27" s="149"/>
      <c r="I27" s="148">
        <f>IF(I24=СК!$Q29,"",ОВД!I24-СК!$Q29)</f>
      </c>
      <c r="J27" s="275"/>
      <c r="K27" s="275"/>
      <c r="L27" s="275"/>
      <c r="M27" s="275"/>
      <c r="N27" s="275"/>
      <c r="O27" s="275"/>
      <c r="P27" s="275"/>
      <c r="Q27" s="275"/>
      <c r="R27" s="275"/>
      <c r="S27" s="275"/>
      <c r="T27" s="275"/>
      <c r="U27" s="275"/>
      <c r="V27" s="214">
        <v>2</v>
      </c>
      <c r="W27" s="373"/>
    </row>
    <row r="28" spans="1:23" ht="15">
      <c r="A28" s="300" t="str">
        <f>CONCATENATE("Приложенията от страница ",НАЧАЛО!P52," до страница ",НАЧАЛО!R52," са неразделна част от финансовия отчет.")</f>
        <v>Приложенията от страница 7 до страница 45 са неразделна част от финансовия отчет.</v>
      </c>
      <c r="B28" s="300"/>
      <c r="C28" s="300"/>
      <c r="D28" s="300"/>
      <c r="E28" s="300"/>
      <c r="F28" s="300"/>
      <c r="G28" s="300"/>
      <c r="H28" s="300"/>
      <c r="I28" s="300"/>
      <c r="J28" s="281"/>
      <c r="K28" s="281"/>
      <c r="L28" s="281"/>
      <c r="M28" s="281"/>
      <c r="N28" s="281"/>
      <c r="O28" s="281"/>
      <c r="P28" s="281"/>
      <c r="Q28" s="281"/>
      <c r="R28" s="281"/>
      <c r="S28" s="281"/>
      <c r="T28" s="281"/>
      <c r="U28" s="281"/>
      <c r="V28" s="214">
        <v>2</v>
      </c>
      <c r="W28" s="335"/>
    </row>
    <row r="29" spans="1:23" ht="15">
      <c r="A29" s="433">
        <f>IF(AND(F$27="",I$27=""),"","ОВД за МУ в ОСК:")</f>
      </c>
      <c r="B29" s="433"/>
      <c r="C29" s="433"/>
      <c r="D29" s="150"/>
      <c r="E29" s="150"/>
      <c r="F29" s="151">
        <f>IF(F$24=СК!$Q71,"",СК!$Q71)</f>
      </c>
      <c r="G29" s="152"/>
      <c r="H29" s="152"/>
      <c r="I29" s="151">
        <f>IF(I$24=СК!$Q29,"",СК!$Q29)</f>
      </c>
      <c r="J29" s="275"/>
      <c r="K29" s="275"/>
      <c r="L29" s="275"/>
      <c r="M29" s="275"/>
      <c r="N29" s="275"/>
      <c r="O29" s="275"/>
      <c r="P29" s="275"/>
      <c r="Q29" s="275"/>
      <c r="R29" s="275"/>
      <c r="S29" s="275"/>
      <c r="T29" s="275"/>
      <c r="U29" s="275"/>
      <c r="V29" s="214">
        <v>2</v>
      </c>
      <c r="W29" s="373"/>
    </row>
    <row r="30" spans="1:23" ht="15">
      <c r="A30" s="92" t="str">
        <f>НАЧАЛО!$A$44</f>
        <v>Представляващ:</v>
      </c>
      <c r="B30" s="153"/>
      <c r="C30" s="154"/>
      <c r="D30" s="154"/>
      <c r="E30" s="154"/>
      <c r="F30" s="98"/>
      <c r="G30" s="98"/>
      <c r="H30" s="98"/>
      <c r="I30" s="98"/>
      <c r="J30" s="282"/>
      <c r="K30" s="282"/>
      <c r="L30" s="282"/>
      <c r="M30" s="282"/>
      <c r="N30" s="282"/>
      <c r="O30" s="282"/>
      <c r="P30" s="282"/>
      <c r="Q30" s="282"/>
      <c r="R30" s="282"/>
      <c r="S30" s="282"/>
      <c r="T30" s="282"/>
      <c r="U30" s="282"/>
      <c r="V30" s="214">
        <v>2</v>
      </c>
      <c r="W30" s="98"/>
    </row>
    <row r="31" spans="1:23" ht="15">
      <c r="A31" s="96" t="str">
        <f>НАЧАЛО!$A$46</f>
        <v>Явор Хайтов                          Красимир Сланчев</v>
      </c>
      <c r="B31" s="155"/>
      <c r="C31" s="98"/>
      <c r="D31" s="98"/>
      <c r="E31" s="98"/>
      <c r="F31" s="98"/>
      <c r="G31" s="98"/>
      <c r="H31" s="98"/>
      <c r="I31" s="98"/>
      <c r="J31" s="282"/>
      <c r="K31" s="282"/>
      <c r="L31" s="282"/>
      <c r="M31" s="282"/>
      <c r="N31" s="282"/>
      <c r="O31" s="282"/>
      <c r="P31" s="282"/>
      <c r="Q31" s="282"/>
      <c r="R31" s="282"/>
      <c r="S31" s="282"/>
      <c r="T31" s="282"/>
      <c r="U31" s="282"/>
      <c r="V31" s="214">
        <v>2</v>
      </c>
      <c r="W31" s="98"/>
    </row>
    <row r="32" spans="1:23" ht="12.75">
      <c r="A32" s="98"/>
      <c r="B32" s="98"/>
      <c r="C32" s="98"/>
      <c r="D32" s="98"/>
      <c r="E32" s="98"/>
      <c r="F32" s="98"/>
      <c r="G32" s="98"/>
      <c r="H32" s="98"/>
      <c r="I32" s="98"/>
      <c r="J32" s="282"/>
      <c r="K32" s="282"/>
      <c r="L32" s="282"/>
      <c r="M32" s="282"/>
      <c r="N32" s="282"/>
      <c r="O32" s="282"/>
      <c r="P32" s="282"/>
      <c r="Q32" s="282"/>
      <c r="R32" s="282"/>
      <c r="S32" s="282"/>
      <c r="T32" s="282"/>
      <c r="U32" s="282"/>
      <c r="V32" s="214">
        <v>2</v>
      </c>
      <c r="W32" s="98"/>
    </row>
    <row r="33" spans="1:23" ht="15">
      <c r="A33" s="97" t="str">
        <f>НАЧАЛО!$F$44</f>
        <v>Съставител:</v>
      </c>
      <c r="B33" s="97"/>
      <c r="C33" s="156"/>
      <c r="D33" s="156"/>
      <c r="E33" s="156"/>
      <c r="F33" s="157"/>
      <c r="G33" s="98"/>
      <c r="H33" s="98"/>
      <c r="I33" s="157"/>
      <c r="J33" s="271"/>
      <c r="K33" s="271"/>
      <c r="L33" s="271"/>
      <c r="M33" s="271"/>
      <c r="N33" s="271"/>
      <c r="O33" s="271"/>
      <c r="P33" s="271"/>
      <c r="Q33" s="271"/>
      <c r="R33" s="271"/>
      <c r="S33" s="271"/>
      <c r="T33" s="271"/>
      <c r="U33" s="271"/>
      <c r="V33" s="214">
        <v>2</v>
      </c>
      <c r="W33" s="157"/>
    </row>
    <row r="34" spans="1:23" ht="15">
      <c r="A34" s="100" t="str">
        <f>НАЧАЛО!$F$46</f>
        <v>Боряна Машова</v>
      </c>
      <c r="B34" s="99"/>
      <c r="C34" s="156"/>
      <c r="D34" s="156"/>
      <c r="E34" s="156"/>
      <c r="F34" s="157"/>
      <c r="G34" s="98"/>
      <c r="H34" s="98"/>
      <c r="I34" s="157"/>
      <c r="J34" s="271"/>
      <c r="K34" s="271"/>
      <c r="L34" s="271"/>
      <c r="M34" s="271"/>
      <c r="N34" s="271"/>
      <c r="O34" s="271"/>
      <c r="P34" s="271"/>
      <c r="Q34" s="271"/>
      <c r="R34" s="271"/>
      <c r="S34" s="271"/>
      <c r="T34" s="271"/>
      <c r="U34" s="271"/>
      <c r="V34" s="214">
        <v>2</v>
      </c>
      <c r="W34" s="157"/>
    </row>
    <row r="35" spans="1:23" ht="15">
      <c r="A35" s="97"/>
      <c r="B35" s="97"/>
      <c r="C35" s="156"/>
      <c r="D35" s="156"/>
      <c r="E35" s="156"/>
      <c r="F35" s="157"/>
      <c r="G35" s="98"/>
      <c r="H35" s="98"/>
      <c r="I35" s="157"/>
      <c r="J35" s="271"/>
      <c r="K35" s="271"/>
      <c r="L35" s="271"/>
      <c r="M35" s="271"/>
      <c r="N35" s="271"/>
      <c r="O35" s="271"/>
      <c r="P35" s="271"/>
      <c r="Q35" s="271"/>
      <c r="R35" s="271"/>
      <c r="S35" s="271"/>
      <c r="T35" s="271"/>
      <c r="U35" s="271"/>
      <c r="V35" s="214">
        <v>2</v>
      </c>
      <c r="W35" s="157"/>
    </row>
    <row r="36" spans="1:23" ht="15">
      <c r="A36" s="100" t="str">
        <f>НАЧАЛО!$C$49</f>
        <v>Заверил:</v>
      </c>
      <c r="B36" s="99"/>
      <c r="C36" s="156"/>
      <c r="D36" s="156"/>
      <c r="E36" s="156"/>
      <c r="F36" s="157"/>
      <c r="G36" s="98"/>
      <c r="H36" s="98"/>
      <c r="I36" s="157"/>
      <c r="J36" s="271"/>
      <c r="K36" s="271"/>
      <c r="L36" s="271"/>
      <c r="M36" s="271"/>
      <c r="N36" s="271"/>
      <c r="O36" s="271"/>
      <c r="P36" s="271"/>
      <c r="Q36" s="271"/>
      <c r="R36" s="271"/>
      <c r="S36" s="271"/>
      <c r="T36" s="271"/>
      <c r="U36" s="271"/>
      <c r="V36" s="214">
        <v>2</v>
      </c>
      <c r="W36" s="157"/>
    </row>
    <row r="37" spans="1:23" ht="15">
      <c r="A37" s="96" t="str">
        <f>НАЧАЛО!$C$51</f>
        <v>СОП „Ейч Ел Би България” ООД</v>
      </c>
      <c r="B37" s="98"/>
      <c r="C37" s="156"/>
      <c r="D37" s="156"/>
      <c r="E37" s="156"/>
      <c r="F37" s="157"/>
      <c r="G37" s="98"/>
      <c r="H37" s="98"/>
      <c r="I37" s="157"/>
      <c r="J37" s="271"/>
      <c r="K37" s="271"/>
      <c r="L37" s="271"/>
      <c r="M37" s="271"/>
      <c r="N37" s="271"/>
      <c r="O37" s="271"/>
      <c r="P37" s="271"/>
      <c r="Q37" s="271"/>
      <c r="R37" s="271"/>
      <c r="S37" s="271"/>
      <c r="T37" s="271"/>
      <c r="U37" s="271"/>
      <c r="V37" s="214">
        <v>2</v>
      </c>
      <c r="W37" s="157"/>
    </row>
    <row r="38" spans="1:23" ht="12.75" customHeight="1">
      <c r="A38" s="102"/>
      <c r="B38" s="158"/>
      <c r="C38" s="156"/>
      <c r="D38" s="156"/>
      <c r="E38" s="156"/>
      <c r="F38" s="157"/>
      <c r="G38" s="98"/>
      <c r="H38" s="98"/>
      <c r="I38" s="157"/>
      <c r="J38" s="271"/>
      <c r="K38" s="271"/>
      <c r="L38" s="271"/>
      <c r="M38" s="271"/>
      <c r="N38" s="271"/>
      <c r="O38" s="271"/>
      <c r="P38" s="271"/>
      <c r="Q38" s="271"/>
      <c r="R38" s="271"/>
      <c r="S38" s="271"/>
      <c r="T38" s="271"/>
      <c r="U38" s="271"/>
      <c r="V38" s="214">
        <v>2</v>
      </c>
      <c r="W38" s="157"/>
    </row>
    <row r="39" spans="1:23" ht="15">
      <c r="A39" s="96" t="str">
        <f>НАЧАЛО!$C$57</f>
        <v>София, 29 януари 2010 г.</v>
      </c>
      <c r="B39" s="98"/>
      <c r="C39" s="156"/>
      <c r="D39" s="156"/>
      <c r="E39" s="156"/>
      <c r="F39" s="157"/>
      <c r="G39" s="98"/>
      <c r="H39" s="98"/>
      <c r="I39" s="157"/>
      <c r="J39" s="271"/>
      <c r="K39" s="271"/>
      <c r="L39" s="271"/>
      <c r="M39" s="271"/>
      <c r="N39" s="271"/>
      <c r="O39" s="271"/>
      <c r="P39" s="271"/>
      <c r="Q39" s="271"/>
      <c r="R39" s="271"/>
      <c r="S39" s="271"/>
      <c r="T39" s="271"/>
      <c r="U39" s="271"/>
      <c r="V39" s="214">
        <v>2</v>
      </c>
      <c r="W39" s="157"/>
    </row>
    <row r="40" spans="1:2" ht="15" hidden="1">
      <c r="A40" s="116"/>
      <c r="B40" s="116"/>
    </row>
    <row r="41" ht="12.75" hidden="1"/>
    <row r="42" spans="1:2" ht="15" hidden="1">
      <c r="A42" s="119"/>
      <c r="B42" s="119"/>
    </row>
  </sheetData>
  <sheetProtection password="DC9E" sheet="1" objects="1" formatRows="0"/>
  <mergeCells count="3">
    <mergeCell ref="A27:C27"/>
    <mergeCell ref="A29:C29"/>
    <mergeCell ref="A25:C25"/>
  </mergeCells>
  <conditionalFormatting sqref="A1:I39">
    <cfRule type="expression" priority="9" dxfId="0" stopIfTrue="1">
      <formula>JJ21&lt;&gt;JK21</formula>
    </cfRule>
    <cfRule type="expression" priority="10" dxfId="0" stopIfTrue="1">
      <formula>JJ22&gt;JK22</formula>
    </cfRule>
  </conditionalFormatting>
  <conditionalFormatting sqref="A28">
    <cfRule type="expression" priority="8" dxfId="15" stopIfTrue="1">
      <formula>JJ61=JK61</formula>
    </cfRule>
  </conditionalFormatting>
  <conditionalFormatting sqref="A26">
    <cfRule type="expression" priority="4" dxfId="0" stopIfTrue="1">
      <formula>JJ21&lt;&gt;JK21</formula>
    </cfRule>
    <cfRule type="expression" priority="5" dxfId="0" stopIfTrue="1">
      <formula>JJ22&gt;JK22</formula>
    </cfRule>
  </conditionalFormatting>
  <conditionalFormatting sqref="A26">
    <cfRule type="expression" priority="2" dxfId="0" stopIfTrue="1">
      <formula>JJ31&lt;&gt;JK31</formula>
    </cfRule>
    <cfRule type="expression" priority="3" dxfId="0" stopIfTrue="1">
      <formula>JJ32&gt;JK32</formula>
    </cfRule>
  </conditionalFormatting>
  <conditionalFormatting sqref="A26">
    <cfRule type="expression" priority="1" dxfId="92" stopIfTrue="1">
      <formula>O26&gt;0</formula>
    </cfRule>
  </conditionalFormatting>
  <dataValidations count="1">
    <dataValidation type="list" allowBlank="1" showInputMessage="1" showErrorMessage="1" sqref="W22:W24 W10:W20 W8">
      <formula1>$P$25:$P$26</formula1>
    </dataValidation>
  </dataValidations>
  <printOptions horizontalCentered="1"/>
  <pageMargins left="0.7480314960629921" right="0.7480314960629921" top="0.4724409448818898" bottom="0.4724409448818898" header="0.3937007874015748" footer="0.1968503937007874"/>
  <pageSetup firstPageNumber="1" useFirstPageNumber="1"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codeName="Sheet2"/>
  <dimension ref="A1:AC99"/>
  <sheetViews>
    <sheetView zoomScalePageLayoutView="0" workbookViewId="0" topLeftCell="A1">
      <pane ySplit="2" topLeftCell="BM3" activePane="bottomLeft" state="frozen"/>
      <selection pane="topLeft" activeCell="A4" sqref="A4"/>
      <selection pane="bottomLeft" activeCell="A82" sqref="A82"/>
    </sheetView>
  </sheetViews>
  <sheetFormatPr defaultColWidth="9.140625" defaultRowHeight="12.75"/>
  <cols>
    <col min="1" max="1" width="71.00390625" style="179" customWidth="1"/>
    <col min="2" max="2" width="1.7109375" style="175" customWidth="1"/>
    <col min="3" max="3" width="12.7109375" style="176" customWidth="1"/>
    <col min="4" max="4" width="1.7109375" style="177" customWidth="1"/>
    <col min="5" max="5" width="12.7109375" style="176" customWidth="1"/>
    <col min="6" max="21" width="1.7109375" style="176" hidden="1" customWidth="1"/>
    <col min="22" max="22" width="1.7109375" style="250" hidden="1" customWidth="1"/>
    <col min="23" max="23" width="1.7109375" style="250" customWidth="1"/>
    <col min="24" max="16384" width="9.140625" style="164" customWidth="1"/>
  </cols>
  <sheetData>
    <row r="1" spans="1:29" ht="18" customHeight="1">
      <c r="A1" s="293" t="str">
        <f>ОД!A1:I1</f>
        <v>ЖЕЛЕЗОПЪТНА ИНФРАСТРУКТУРА ХОЛДИНГОВО ДРУЖЕСТВО АД</v>
      </c>
      <c r="B1" s="293"/>
      <c r="C1" s="293"/>
      <c r="D1" s="293"/>
      <c r="E1" s="293"/>
      <c r="F1" s="254"/>
      <c r="G1" s="254"/>
      <c r="H1" s="254"/>
      <c r="I1" s="254"/>
      <c r="J1" s="254"/>
      <c r="K1" s="254"/>
      <c r="L1" s="254"/>
      <c r="M1" s="254"/>
      <c r="N1" s="254"/>
      <c r="O1" s="254"/>
      <c r="P1" s="254"/>
      <c r="Q1" s="254"/>
      <c r="R1" s="254"/>
      <c r="S1" s="254"/>
      <c r="T1" s="254"/>
      <c r="U1" s="254"/>
      <c r="V1" s="251">
        <v>2</v>
      </c>
      <c r="W1" s="251"/>
      <c r="X1" s="309"/>
      <c r="Y1" s="309"/>
      <c r="Z1" s="309"/>
      <c r="AA1" s="309"/>
      <c r="AB1" s="309"/>
      <c r="AC1" s="309"/>
    </row>
    <row r="2" spans="1:23" ht="15">
      <c r="A2" s="328" t="str">
        <f>НАЧАЛО!AA20</f>
        <v>ОТЧЕТ ЗА ПАРИЧНИТЕ ПОТОЦИ за 2009 година</v>
      </c>
      <c r="B2" s="328"/>
      <c r="C2" s="328"/>
      <c r="D2" s="328"/>
      <c r="E2" s="328"/>
      <c r="F2" s="255"/>
      <c r="G2" s="255"/>
      <c r="H2" s="255"/>
      <c r="I2" s="255"/>
      <c r="J2" s="255"/>
      <c r="K2" s="255"/>
      <c r="L2" s="255"/>
      <c r="M2" s="255"/>
      <c r="N2" s="255"/>
      <c r="O2" s="255"/>
      <c r="P2" s="255"/>
      <c r="Q2" s="255"/>
      <c r="R2" s="255"/>
      <c r="S2" s="255"/>
      <c r="T2" s="255"/>
      <c r="U2" s="255"/>
      <c r="V2" s="251">
        <v>2</v>
      </c>
      <c r="W2" s="251"/>
    </row>
    <row r="3" spans="1:23" ht="6.75" customHeight="1">
      <c r="A3" s="336"/>
      <c r="B3" s="336"/>
      <c r="C3" s="336"/>
      <c r="D3" s="336"/>
      <c r="E3" s="336"/>
      <c r="F3" s="255"/>
      <c r="G3" s="255"/>
      <c r="H3" s="255"/>
      <c r="I3" s="255"/>
      <c r="J3" s="255"/>
      <c r="K3" s="255"/>
      <c r="L3" s="255"/>
      <c r="M3" s="255"/>
      <c r="N3" s="255"/>
      <c r="O3" s="255"/>
      <c r="P3" s="255"/>
      <c r="Q3" s="255"/>
      <c r="R3" s="255"/>
      <c r="S3" s="255"/>
      <c r="T3" s="255"/>
      <c r="U3" s="255"/>
      <c r="V3" s="251">
        <v>2</v>
      </c>
      <c r="W3" s="251"/>
    </row>
    <row r="4" spans="1:23" ht="15" customHeight="1">
      <c r="A4" s="180"/>
      <c r="B4" s="181"/>
      <c r="C4" s="165" t="str">
        <f>НАЧАЛО!AD1&amp;" г."</f>
        <v>2009 г.</v>
      </c>
      <c r="D4" s="182"/>
      <c r="E4" s="165" t="str">
        <f>НАЧАЛО!AF1&amp;" г."</f>
        <v>2008 г.</v>
      </c>
      <c r="F4" s="165"/>
      <c r="G4" s="165"/>
      <c r="H4" s="165"/>
      <c r="I4" s="165"/>
      <c r="J4" s="165"/>
      <c r="K4" s="165"/>
      <c r="L4" s="165"/>
      <c r="M4" s="165"/>
      <c r="N4" s="165"/>
      <c r="O4" s="165"/>
      <c r="P4" s="165"/>
      <c r="Q4" s="165"/>
      <c r="R4" s="165"/>
      <c r="S4" s="165"/>
      <c r="T4" s="165"/>
      <c r="U4" s="165"/>
      <c r="V4" s="251">
        <v>2</v>
      </c>
      <c r="W4" s="251"/>
    </row>
    <row r="5" spans="1:23" ht="15">
      <c r="A5" s="180"/>
      <c r="B5" s="181"/>
      <c r="C5" s="183" t="s">
        <v>141</v>
      </c>
      <c r="D5" s="184"/>
      <c r="E5" s="183" t="s">
        <v>141</v>
      </c>
      <c r="F5" s="183"/>
      <c r="G5" s="183"/>
      <c r="H5" s="183"/>
      <c r="I5" s="183"/>
      <c r="J5" s="183"/>
      <c r="K5" s="183"/>
      <c r="L5" s="183"/>
      <c r="M5" s="183"/>
      <c r="N5" s="183"/>
      <c r="O5" s="183"/>
      <c r="P5" s="183"/>
      <c r="Q5" s="183"/>
      <c r="R5" s="183"/>
      <c r="S5" s="183"/>
      <c r="T5" s="183"/>
      <c r="U5" s="183"/>
      <c r="V5" s="253">
        <v>2</v>
      </c>
      <c r="W5" s="253"/>
    </row>
    <row r="6" spans="1:23" ht="10.5" customHeight="1">
      <c r="A6" s="180"/>
      <c r="B6" s="181"/>
      <c r="C6" s="183"/>
      <c r="D6" s="184"/>
      <c r="E6" s="183"/>
      <c r="F6" s="183"/>
      <c r="G6" s="183"/>
      <c r="H6" s="183"/>
      <c r="I6" s="183"/>
      <c r="J6" s="183"/>
      <c r="K6" s="183"/>
      <c r="L6" s="183"/>
      <c r="M6" s="183"/>
      <c r="N6" s="183"/>
      <c r="O6" s="183"/>
      <c r="P6" s="183"/>
      <c r="Q6" s="183"/>
      <c r="R6" s="183"/>
      <c r="S6" s="183"/>
      <c r="T6" s="183"/>
      <c r="U6" s="183"/>
      <c r="V6" s="252">
        <f>IF(V7=0,0,V7)</f>
        <v>1</v>
      </c>
      <c r="W6" s="252"/>
    </row>
    <row r="7" spans="1:23" ht="15">
      <c r="A7" s="185" t="s">
        <v>194</v>
      </c>
      <c r="B7" s="186"/>
      <c r="C7" s="187"/>
      <c r="D7" s="188"/>
      <c r="E7" s="187"/>
      <c r="F7" s="187"/>
      <c r="G7" s="187"/>
      <c r="H7" s="187"/>
      <c r="I7" s="187"/>
      <c r="J7" s="187"/>
      <c r="K7" s="187"/>
      <c r="L7" s="187"/>
      <c r="M7" s="187"/>
      <c r="N7" s="187"/>
      <c r="O7" s="187"/>
      <c r="P7" s="187"/>
      <c r="Q7" s="187"/>
      <c r="R7" s="187"/>
      <c r="S7" s="187"/>
      <c r="T7" s="187"/>
      <c r="U7" s="187"/>
      <c r="V7" s="252">
        <f>IF(V27=0,0,1)</f>
        <v>1</v>
      </c>
      <c r="W7" s="252"/>
    </row>
    <row r="8" spans="1:23" ht="15" hidden="1">
      <c r="A8" s="169" t="s">
        <v>2</v>
      </c>
      <c r="B8" s="166"/>
      <c r="C8" s="167"/>
      <c r="D8" s="168"/>
      <c r="E8" s="167"/>
      <c r="F8" s="167"/>
      <c r="G8" s="167"/>
      <c r="H8" s="167"/>
      <c r="I8" s="167"/>
      <c r="J8" s="167"/>
      <c r="K8" s="167"/>
      <c r="L8" s="167"/>
      <c r="M8" s="167"/>
      <c r="N8" s="167"/>
      <c r="O8" s="167"/>
      <c r="P8" s="167"/>
      <c r="Q8" s="167"/>
      <c r="R8" s="167"/>
      <c r="S8" s="167"/>
      <c r="T8" s="167"/>
      <c r="U8" s="167"/>
      <c r="V8" s="252">
        <f>IF(AND(C8=0,E8=0),0,1)</f>
        <v>0</v>
      </c>
      <c r="W8" s="339"/>
    </row>
    <row r="9" spans="1:25" ht="15">
      <c r="A9" s="169" t="s">
        <v>3</v>
      </c>
      <c r="B9" s="166"/>
      <c r="C9" s="167">
        <v>-470</v>
      </c>
      <c r="D9" s="168"/>
      <c r="E9" s="167">
        <v>-216</v>
      </c>
      <c r="F9" s="167"/>
      <c r="G9" s="167"/>
      <c r="H9" s="167"/>
      <c r="I9" s="167"/>
      <c r="J9" s="167"/>
      <c r="K9" s="167"/>
      <c r="L9" s="167"/>
      <c r="M9" s="167"/>
      <c r="N9" s="167"/>
      <c r="O9" s="167"/>
      <c r="P9" s="167"/>
      <c r="Q9" s="167"/>
      <c r="R9" s="167"/>
      <c r="S9" s="167"/>
      <c r="T9" s="167"/>
      <c r="U9" s="167"/>
      <c r="V9" s="252">
        <f aca="true" t="shared" si="0" ref="V9:V27">IF(AND(C9=0,E9=0),0,1)</f>
        <v>1</v>
      </c>
      <c r="W9" s="339"/>
      <c r="Y9" s="395"/>
    </row>
    <row r="10" spans="1:23" ht="15">
      <c r="A10" s="391" t="s">
        <v>95</v>
      </c>
      <c r="B10" s="166"/>
      <c r="C10" s="167">
        <v>-366</v>
      </c>
      <c r="D10" s="168"/>
      <c r="E10" s="167">
        <v>-418</v>
      </c>
      <c r="F10" s="167"/>
      <c r="G10" s="167"/>
      <c r="H10" s="167"/>
      <c r="I10" s="167"/>
      <c r="J10" s="167"/>
      <c r="K10" s="167"/>
      <c r="L10" s="167"/>
      <c r="M10" s="167"/>
      <c r="N10" s="167"/>
      <c r="O10" s="167"/>
      <c r="P10" s="167"/>
      <c r="Q10" s="167"/>
      <c r="R10" s="167"/>
      <c r="S10" s="167"/>
      <c r="T10" s="167"/>
      <c r="U10" s="167"/>
      <c r="V10" s="252">
        <f t="shared" si="0"/>
        <v>1</v>
      </c>
      <c r="W10" s="339"/>
    </row>
    <row r="11" spans="1:23" ht="15" hidden="1">
      <c r="A11" s="389" t="s">
        <v>97</v>
      </c>
      <c r="B11" s="166"/>
      <c r="C11" s="167"/>
      <c r="D11" s="168"/>
      <c r="E11" s="167"/>
      <c r="F11" s="167"/>
      <c r="G11" s="167"/>
      <c r="H11" s="167"/>
      <c r="I11" s="167"/>
      <c r="J11" s="167"/>
      <c r="K11" s="167"/>
      <c r="L11" s="167"/>
      <c r="M11" s="167"/>
      <c r="N11" s="167"/>
      <c r="O11" s="167"/>
      <c r="P11" s="167"/>
      <c r="Q11" s="167"/>
      <c r="R11" s="167"/>
      <c r="S11" s="167"/>
      <c r="T11" s="167"/>
      <c r="U11" s="167"/>
      <c r="V11" s="252">
        <f t="shared" si="0"/>
        <v>0</v>
      </c>
      <c r="W11" s="339"/>
    </row>
    <row r="12" spans="1:23" ht="15" hidden="1">
      <c r="A12" s="389" t="s">
        <v>96</v>
      </c>
      <c r="B12" s="166"/>
      <c r="C12" s="167"/>
      <c r="D12" s="168"/>
      <c r="E12" s="167"/>
      <c r="F12" s="167"/>
      <c r="G12" s="167"/>
      <c r="H12" s="167"/>
      <c r="I12" s="167"/>
      <c r="J12" s="167"/>
      <c r="K12" s="167"/>
      <c r="L12" s="167"/>
      <c r="M12" s="167"/>
      <c r="N12" s="167"/>
      <c r="O12" s="167"/>
      <c r="P12" s="167"/>
      <c r="Q12" s="167"/>
      <c r="R12" s="167"/>
      <c r="S12" s="167"/>
      <c r="T12" s="167"/>
      <c r="U12" s="167"/>
      <c r="V12" s="252">
        <f t="shared" si="0"/>
        <v>0</v>
      </c>
      <c r="W12" s="339"/>
    </row>
    <row r="13" spans="1:23" ht="15" hidden="1">
      <c r="A13" s="169" t="s">
        <v>156</v>
      </c>
      <c r="B13" s="170"/>
      <c r="C13" s="167"/>
      <c r="D13" s="168"/>
      <c r="E13" s="167"/>
      <c r="F13" s="167"/>
      <c r="G13" s="167"/>
      <c r="H13" s="167"/>
      <c r="I13" s="167"/>
      <c r="J13" s="167"/>
      <c r="K13" s="167"/>
      <c r="L13" s="167"/>
      <c r="M13" s="167"/>
      <c r="N13" s="167"/>
      <c r="O13" s="167"/>
      <c r="P13" s="167"/>
      <c r="Q13" s="167"/>
      <c r="R13" s="167"/>
      <c r="S13" s="167"/>
      <c r="T13" s="167"/>
      <c r="U13" s="167"/>
      <c r="V13" s="252">
        <f t="shared" si="0"/>
        <v>0</v>
      </c>
      <c r="W13" s="339"/>
    </row>
    <row r="14" spans="1:23" ht="15" hidden="1">
      <c r="A14" s="169" t="s">
        <v>65</v>
      </c>
      <c r="B14" s="170"/>
      <c r="C14" s="167"/>
      <c r="D14" s="168"/>
      <c r="E14" s="167"/>
      <c r="F14" s="167"/>
      <c r="G14" s="167"/>
      <c r="H14" s="167"/>
      <c r="I14" s="167"/>
      <c r="J14" s="167"/>
      <c r="K14" s="167"/>
      <c r="L14" s="167"/>
      <c r="M14" s="167"/>
      <c r="N14" s="167"/>
      <c r="O14" s="167"/>
      <c r="P14" s="167"/>
      <c r="Q14" s="167"/>
      <c r="R14" s="167"/>
      <c r="S14" s="167"/>
      <c r="T14" s="167"/>
      <c r="U14" s="167"/>
      <c r="V14" s="252">
        <f t="shared" si="0"/>
        <v>0</v>
      </c>
      <c r="W14" s="339"/>
    </row>
    <row r="15" spans="1:23" ht="15" hidden="1">
      <c r="A15" s="169" t="s">
        <v>7</v>
      </c>
      <c r="B15" s="170"/>
      <c r="C15" s="167"/>
      <c r="D15" s="168"/>
      <c r="E15" s="167"/>
      <c r="F15" s="167"/>
      <c r="G15" s="167"/>
      <c r="H15" s="167"/>
      <c r="I15" s="167"/>
      <c r="J15" s="167"/>
      <c r="K15" s="167"/>
      <c r="L15" s="167"/>
      <c r="M15" s="167"/>
      <c r="N15" s="167"/>
      <c r="O15" s="167"/>
      <c r="P15" s="167"/>
      <c r="Q15" s="167"/>
      <c r="R15" s="167"/>
      <c r="S15" s="167"/>
      <c r="T15" s="167"/>
      <c r="U15" s="167"/>
      <c r="V15" s="252">
        <f t="shared" si="0"/>
        <v>0</v>
      </c>
      <c r="W15" s="339"/>
    </row>
    <row r="16" spans="1:23" ht="15" hidden="1">
      <c r="A16" s="169" t="s">
        <v>81</v>
      </c>
      <c r="B16" s="170"/>
      <c r="C16" s="167"/>
      <c r="D16" s="168"/>
      <c r="E16" s="167"/>
      <c r="F16" s="167"/>
      <c r="G16" s="167"/>
      <c r="H16" s="167"/>
      <c r="I16" s="167"/>
      <c r="J16" s="167"/>
      <c r="K16" s="167"/>
      <c r="L16" s="167"/>
      <c r="M16" s="167"/>
      <c r="N16" s="167"/>
      <c r="O16" s="167"/>
      <c r="P16" s="167"/>
      <c r="Q16" s="167"/>
      <c r="R16" s="167"/>
      <c r="S16" s="167"/>
      <c r="T16" s="167"/>
      <c r="U16" s="167"/>
      <c r="V16" s="252">
        <f t="shared" si="0"/>
        <v>0</v>
      </c>
      <c r="W16" s="339"/>
    </row>
    <row r="17" spans="1:23" ht="15" hidden="1">
      <c r="A17" s="169" t="s">
        <v>84</v>
      </c>
      <c r="B17" s="170"/>
      <c r="C17" s="167"/>
      <c r="D17" s="168"/>
      <c r="E17" s="167"/>
      <c r="F17" s="167"/>
      <c r="G17" s="167"/>
      <c r="H17" s="167"/>
      <c r="I17" s="167"/>
      <c r="J17" s="167"/>
      <c r="K17" s="167"/>
      <c r="L17" s="167"/>
      <c r="M17" s="167"/>
      <c r="N17" s="167"/>
      <c r="O17" s="167"/>
      <c r="P17" s="167"/>
      <c r="Q17" s="167"/>
      <c r="R17" s="167"/>
      <c r="S17" s="167"/>
      <c r="T17" s="167"/>
      <c r="U17" s="167"/>
      <c r="V17" s="252">
        <f t="shared" si="0"/>
        <v>0</v>
      </c>
      <c r="W17" s="339"/>
    </row>
    <row r="18" spans="1:23" ht="15" hidden="1">
      <c r="A18" s="169" t="s">
        <v>66</v>
      </c>
      <c r="B18" s="170"/>
      <c r="C18" s="167"/>
      <c r="D18" s="168"/>
      <c r="E18" s="167"/>
      <c r="F18" s="167"/>
      <c r="G18" s="167"/>
      <c r="H18" s="167"/>
      <c r="I18" s="167"/>
      <c r="J18" s="167"/>
      <c r="K18" s="167"/>
      <c r="L18" s="167"/>
      <c r="M18" s="167"/>
      <c r="N18" s="167"/>
      <c r="O18" s="167"/>
      <c r="P18" s="167"/>
      <c r="Q18" s="167"/>
      <c r="R18" s="167"/>
      <c r="S18" s="167"/>
      <c r="T18" s="167"/>
      <c r="U18" s="167"/>
      <c r="V18" s="252">
        <f t="shared" si="0"/>
        <v>0</v>
      </c>
      <c r="W18" s="339"/>
    </row>
    <row r="19" spans="1:23" ht="15" hidden="1">
      <c r="A19" s="389" t="s">
        <v>104</v>
      </c>
      <c r="B19" s="166"/>
      <c r="C19" s="167"/>
      <c r="D19" s="168"/>
      <c r="E19" s="167"/>
      <c r="F19" s="167"/>
      <c r="G19" s="167"/>
      <c r="H19" s="167"/>
      <c r="I19" s="167"/>
      <c r="J19" s="167"/>
      <c r="K19" s="167"/>
      <c r="L19" s="167"/>
      <c r="M19" s="167"/>
      <c r="N19" s="167"/>
      <c r="O19" s="167"/>
      <c r="P19" s="167"/>
      <c r="Q19" s="167"/>
      <c r="R19" s="167"/>
      <c r="S19" s="167"/>
      <c r="T19" s="167"/>
      <c r="U19" s="167"/>
      <c r="V19" s="252">
        <f t="shared" si="0"/>
        <v>0</v>
      </c>
      <c r="W19" s="339"/>
    </row>
    <row r="20" spans="1:23" ht="15" hidden="1">
      <c r="A20" s="389" t="s">
        <v>85</v>
      </c>
      <c r="B20" s="170"/>
      <c r="C20" s="167"/>
      <c r="D20" s="168"/>
      <c r="E20" s="167"/>
      <c r="F20" s="167"/>
      <c r="G20" s="167"/>
      <c r="H20" s="167"/>
      <c r="I20" s="167"/>
      <c r="J20" s="167"/>
      <c r="K20" s="167"/>
      <c r="L20" s="167"/>
      <c r="M20" s="167"/>
      <c r="N20" s="167"/>
      <c r="O20" s="167"/>
      <c r="P20" s="167"/>
      <c r="Q20" s="167"/>
      <c r="R20" s="167"/>
      <c r="S20" s="167"/>
      <c r="T20" s="167"/>
      <c r="U20" s="167"/>
      <c r="V20" s="252">
        <f t="shared" si="0"/>
        <v>0</v>
      </c>
      <c r="W20" s="339"/>
    </row>
    <row r="21" spans="1:23" ht="15" hidden="1">
      <c r="A21" s="391" t="s">
        <v>74</v>
      </c>
      <c r="B21" s="170"/>
      <c r="C21" s="167"/>
      <c r="D21" s="168"/>
      <c r="E21" s="167"/>
      <c r="F21" s="167"/>
      <c r="G21" s="167"/>
      <c r="H21" s="167"/>
      <c r="I21" s="167"/>
      <c r="J21" s="167"/>
      <c r="K21" s="167"/>
      <c r="L21" s="167"/>
      <c r="M21" s="167"/>
      <c r="N21" s="167"/>
      <c r="O21" s="167"/>
      <c r="P21" s="167"/>
      <c r="Q21" s="167"/>
      <c r="R21" s="167"/>
      <c r="S21" s="167"/>
      <c r="T21" s="167"/>
      <c r="U21" s="167"/>
      <c r="V21" s="252">
        <f>IF(AND(C21=0,E21=0),0,1)</f>
        <v>0</v>
      </c>
      <c r="W21" s="339"/>
    </row>
    <row r="22" spans="1:23" ht="15" hidden="1">
      <c r="A22" s="389" t="s">
        <v>98</v>
      </c>
      <c r="B22" s="170"/>
      <c r="C22" s="167"/>
      <c r="D22" s="168"/>
      <c r="E22" s="167"/>
      <c r="F22" s="167"/>
      <c r="G22" s="167"/>
      <c r="H22" s="167"/>
      <c r="I22" s="167"/>
      <c r="J22" s="167"/>
      <c r="K22" s="167"/>
      <c r="L22" s="167"/>
      <c r="M22" s="167"/>
      <c r="N22" s="167"/>
      <c r="O22" s="167"/>
      <c r="P22" s="167"/>
      <c r="Q22" s="167"/>
      <c r="R22" s="167"/>
      <c r="S22" s="167"/>
      <c r="T22" s="167"/>
      <c r="U22" s="167"/>
      <c r="V22" s="252">
        <f t="shared" si="0"/>
        <v>0</v>
      </c>
      <c r="W22" s="339"/>
    </row>
    <row r="23" spans="1:23" ht="15" hidden="1">
      <c r="A23" s="389" t="s">
        <v>99</v>
      </c>
      <c r="B23" s="170"/>
      <c r="C23" s="167"/>
      <c r="D23" s="168"/>
      <c r="E23" s="167"/>
      <c r="F23" s="167"/>
      <c r="G23" s="167"/>
      <c r="H23" s="167"/>
      <c r="I23" s="167"/>
      <c r="J23" s="167"/>
      <c r="K23" s="167"/>
      <c r="L23" s="167"/>
      <c r="M23" s="167"/>
      <c r="N23" s="167"/>
      <c r="O23" s="167"/>
      <c r="P23" s="167"/>
      <c r="Q23" s="167"/>
      <c r="R23" s="167"/>
      <c r="S23" s="167"/>
      <c r="T23" s="167"/>
      <c r="U23" s="167"/>
      <c r="V23" s="252">
        <f t="shared" si="0"/>
        <v>0</v>
      </c>
      <c r="W23" s="339"/>
    </row>
    <row r="24" spans="1:23" ht="15">
      <c r="A24" s="392" t="s">
        <v>4</v>
      </c>
      <c r="B24" s="170"/>
      <c r="C24" s="167"/>
      <c r="D24" s="168"/>
      <c r="E24" s="167">
        <v>1</v>
      </c>
      <c r="F24" s="167"/>
      <c r="G24" s="167"/>
      <c r="H24" s="167"/>
      <c r="I24" s="167"/>
      <c r="J24" s="167"/>
      <c r="K24" s="167"/>
      <c r="L24" s="167"/>
      <c r="M24" s="167"/>
      <c r="N24" s="167"/>
      <c r="O24" s="167"/>
      <c r="P24" s="167"/>
      <c r="Q24" s="167"/>
      <c r="R24" s="167"/>
      <c r="S24" s="167"/>
      <c r="T24" s="167"/>
      <c r="U24" s="167"/>
      <c r="V24" s="252">
        <f t="shared" si="0"/>
        <v>1</v>
      </c>
      <c r="W24" s="339"/>
    </row>
    <row r="25" spans="1:23" ht="15" hidden="1">
      <c r="A25" s="389" t="s">
        <v>100</v>
      </c>
      <c r="B25" s="170"/>
      <c r="C25" s="167"/>
      <c r="D25" s="168"/>
      <c r="E25" s="167"/>
      <c r="F25" s="167"/>
      <c r="G25" s="167"/>
      <c r="H25" s="167"/>
      <c r="I25" s="167"/>
      <c r="J25" s="167"/>
      <c r="K25" s="167"/>
      <c r="L25" s="167"/>
      <c r="M25" s="167"/>
      <c r="N25" s="167"/>
      <c r="O25" s="167"/>
      <c r="P25" s="167"/>
      <c r="Q25" s="167"/>
      <c r="R25" s="167"/>
      <c r="S25" s="167"/>
      <c r="T25" s="167"/>
      <c r="U25" s="167"/>
      <c r="V25" s="252">
        <f t="shared" si="0"/>
        <v>0</v>
      </c>
      <c r="W25" s="339"/>
    </row>
    <row r="26" spans="1:23" ht="15" hidden="1">
      <c r="A26" s="389" t="s">
        <v>101</v>
      </c>
      <c r="B26" s="186"/>
      <c r="C26" s="167"/>
      <c r="D26" s="168"/>
      <c r="E26" s="167"/>
      <c r="F26" s="167"/>
      <c r="G26" s="167"/>
      <c r="H26" s="167"/>
      <c r="I26" s="167"/>
      <c r="J26" s="167"/>
      <c r="K26" s="167"/>
      <c r="L26" s="167"/>
      <c r="M26" s="167"/>
      <c r="N26" s="167"/>
      <c r="O26" s="167"/>
      <c r="P26" s="167"/>
      <c r="Q26" s="167"/>
      <c r="R26" s="167"/>
      <c r="S26" s="167"/>
      <c r="T26" s="167"/>
      <c r="U26" s="167"/>
      <c r="V26" s="252">
        <f t="shared" si="0"/>
        <v>0</v>
      </c>
      <c r="W26" s="339"/>
    </row>
    <row r="27" spans="1:23" ht="15.75" thickBot="1">
      <c r="A27" s="191" t="s">
        <v>195</v>
      </c>
      <c r="B27" s="190"/>
      <c r="C27" s="192">
        <f>SUM(C8:C26)</f>
        <v>-836</v>
      </c>
      <c r="D27" s="193"/>
      <c r="E27" s="192">
        <f>SUM(E8:E26)</f>
        <v>-633</v>
      </c>
      <c r="F27" s="194"/>
      <c r="G27" s="194"/>
      <c r="H27" s="194"/>
      <c r="I27" s="194"/>
      <c r="J27" s="194"/>
      <c r="K27" s="194"/>
      <c r="L27" s="194"/>
      <c r="M27" s="194"/>
      <c r="N27" s="194"/>
      <c r="O27" s="194"/>
      <c r="P27" s="194"/>
      <c r="Q27" s="194"/>
      <c r="R27" s="194"/>
      <c r="S27" s="194"/>
      <c r="T27" s="194"/>
      <c r="U27" s="194"/>
      <c r="V27" s="252">
        <f t="shared" si="0"/>
        <v>1</v>
      </c>
      <c r="W27" s="252"/>
    </row>
    <row r="28" spans="1:23" ht="10.5" customHeight="1" thickTop="1">
      <c r="A28" s="189"/>
      <c r="B28" s="186"/>
      <c r="C28" s="187"/>
      <c r="D28" s="188"/>
      <c r="E28" s="187"/>
      <c r="F28" s="187"/>
      <c r="G28" s="187"/>
      <c r="H28" s="187"/>
      <c r="I28" s="187"/>
      <c r="J28" s="187"/>
      <c r="K28" s="187"/>
      <c r="L28" s="187"/>
      <c r="M28" s="187"/>
      <c r="N28" s="187"/>
      <c r="O28" s="187"/>
      <c r="P28" s="187"/>
      <c r="Q28" s="187"/>
      <c r="R28" s="187"/>
      <c r="S28" s="187"/>
      <c r="T28" s="187"/>
      <c r="U28" s="187"/>
      <c r="V28" s="252">
        <f>IF(V29=0,0,V29)</f>
        <v>1</v>
      </c>
      <c r="W28" s="252"/>
    </row>
    <row r="29" spans="1:23" ht="15">
      <c r="A29" s="185" t="s">
        <v>6</v>
      </c>
      <c r="B29" s="186"/>
      <c r="C29" s="187"/>
      <c r="D29" s="188"/>
      <c r="E29" s="187"/>
      <c r="F29" s="187"/>
      <c r="G29" s="187"/>
      <c r="H29" s="187"/>
      <c r="I29" s="187"/>
      <c r="J29" s="187"/>
      <c r="K29" s="187"/>
      <c r="L29" s="187"/>
      <c r="M29" s="187"/>
      <c r="N29" s="187"/>
      <c r="O29" s="187"/>
      <c r="P29" s="187"/>
      <c r="Q29" s="187"/>
      <c r="R29" s="187"/>
      <c r="S29" s="187"/>
      <c r="T29" s="187"/>
      <c r="U29" s="187"/>
      <c r="V29" s="252">
        <f>IF(V50=0,0,1)</f>
        <v>1</v>
      </c>
      <c r="W29" s="339"/>
    </row>
    <row r="30" spans="1:23" ht="15">
      <c r="A30" s="169" t="s">
        <v>137</v>
      </c>
      <c r="B30" s="166"/>
      <c r="C30" s="167">
        <v>-13</v>
      </c>
      <c r="D30" s="168"/>
      <c r="E30" s="167">
        <v>-20</v>
      </c>
      <c r="F30" s="167"/>
      <c r="G30" s="167"/>
      <c r="H30" s="167"/>
      <c r="I30" s="167"/>
      <c r="J30" s="167"/>
      <c r="K30" s="167"/>
      <c r="L30" s="167"/>
      <c r="M30" s="167"/>
      <c r="N30" s="167"/>
      <c r="O30" s="167"/>
      <c r="P30" s="167"/>
      <c r="Q30" s="167"/>
      <c r="R30" s="167"/>
      <c r="S30" s="167"/>
      <c r="T30" s="167"/>
      <c r="U30" s="167"/>
      <c r="V30" s="252">
        <f aca="true" t="shared" si="1" ref="V30:V50">IF(AND(C30=0,E30=0),0,1)</f>
        <v>1</v>
      </c>
      <c r="W30" s="339"/>
    </row>
    <row r="31" spans="1:23" ht="15" hidden="1">
      <c r="A31" s="171" t="s">
        <v>138</v>
      </c>
      <c r="B31" s="166"/>
      <c r="C31" s="167"/>
      <c r="D31" s="168"/>
      <c r="E31" s="167"/>
      <c r="F31" s="167"/>
      <c r="G31" s="167"/>
      <c r="H31" s="167"/>
      <c r="I31" s="167"/>
      <c r="J31" s="167"/>
      <c r="K31" s="167"/>
      <c r="L31" s="167"/>
      <c r="M31" s="167"/>
      <c r="N31" s="167"/>
      <c r="O31" s="167"/>
      <c r="P31" s="167"/>
      <c r="Q31" s="167"/>
      <c r="R31" s="167"/>
      <c r="S31" s="167"/>
      <c r="T31" s="167"/>
      <c r="U31" s="167"/>
      <c r="V31" s="252">
        <f t="shared" si="1"/>
        <v>0</v>
      </c>
      <c r="W31" s="339"/>
    </row>
    <row r="32" spans="1:23" ht="15" hidden="1">
      <c r="A32" s="171" t="s">
        <v>8</v>
      </c>
      <c r="B32" s="166"/>
      <c r="C32" s="167"/>
      <c r="D32" s="168"/>
      <c r="E32" s="167"/>
      <c r="F32" s="167"/>
      <c r="G32" s="167"/>
      <c r="H32" s="167"/>
      <c r="I32" s="167"/>
      <c r="J32" s="167"/>
      <c r="K32" s="167"/>
      <c r="L32" s="167"/>
      <c r="M32" s="167"/>
      <c r="N32" s="167"/>
      <c r="O32" s="167"/>
      <c r="P32" s="167"/>
      <c r="Q32" s="167"/>
      <c r="R32" s="167"/>
      <c r="S32" s="167"/>
      <c r="T32" s="167"/>
      <c r="U32" s="167"/>
      <c r="V32" s="252">
        <f t="shared" si="1"/>
        <v>0</v>
      </c>
      <c r="W32" s="339"/>
    </row>
    <row r="33" spans="1:23" ht="15" hidden="1">
      <c r="A33" s="171" t="s">
        <v>9</v>
      </c>
      <c r="B33" s="166"/>
      <c r="C33" s="167"/>
      <c r="D33" s="168"/>
      <c r="E33" s="167"/>
      <c r="F33" s="167"/>
      <c r="G33" s="167"/>
      <c r="H33" s="167"/>
      <c r="I33" s="167"/>
      <c r="J33" s="167"/>
      <c r="K33" s="167"/>
      <c r="L33" s="167"/>
      <c r="M33" s="167"/>
      <c r="N33" s="167"/>
      <c r="O33" s="167"/>
      <c r="P33" s="167"/>
      <c r="Q33" s="167"/>
      <c r="R33" s="167"/>
      <c r="S33" s="167"/>
      <c r="T33" s="167"/>
      <c r="U33" s="167"/>
      <c r="V33" s="252">
        <f t="shared" si="1"/>
        <v>0</v>
      </c>
      <c r="W33" s="339"/>
    </row>
    <row r="34" spans="1:23" ht="15" hidden="1">
      <c r="A34" s="171" t="s">
        <v>14</v>
      </c>
      <c r="B34" s="166"/>
      <c r="C34" s="167"/>
      <c r="D34" s="168"/>
      <c r="E34" s="167"/>
      <c r="F34" s="167"/>
      <c r="G34" s="167"/>
      <c r="H34" s="167"/>
      <c r="I34" s="167"/>
      <c r="J34" s="167"/>
      <c r="K34" s="167"/>
      <c r="L34" s="167"/>
      <c r="M34" s="167"/>
      <c r="N34" s="167"/>
      <c r="O34" s="167"/>
      <c r="P34" s="167"/>
      <c r="Q34" s="167"/>
      <c r="R34" s="167"/>
      <c r="S34" s="167"/>
      <c r="T34" s="167"/>
      <c r="U34" s="167"/>
      <c r="V34" s="252">
        <f t="shared" si="1"/>
        <v>0</v>
      </c>
      <c r="W34" s="339"/>
    </row>
    <row r="35" spans="1:23" ht="15">
      <c r="A35" s="390" t="s">
        <v>67</v>
      </c>
      <c r="B35" s="166"/>
      <c r="C35" s="167">
        <v>7</v>
      </c>
      <c r="D35" s="168"/>
      <c r="E35" s="167"/>
      <c r="F35" s="167"/>
      <c r="G35" s="167"/>
      <c r="H35" s="167"/>
      <c r="I35" s="167"/>
      <c r="J35" s="167"/>
      <c r="K35" s="167"/>
      <c r="L35" s="167"/>
      <c r="M35" s="167"/>
      <c r="N35" s="167"/>
      <c r="O35" s="167"/>
      <c r="P35" s="167"/>
      <c r="Q35" s="167"/>
      <c r="R35" s="167"/>
      <c r="S35" s="167"/>
      <c r="T35" s="167"/>
      <c r="U35" s="167"/>
      <c r="V35" s="252">
        <f t="shared" si="1"/>
        <v>1</v>
      </c>
      <c r="W35" s="339"/>
    </row>
    <row r="36" spans="1:23" ht="15">
      <c r="A36" s="171" t="s">
        <v>71</v>
      </c>
      <c r="B36" s="166"/>
      <c r="C36" s="167">
        <v>-847</v>
      </c>
      <c r="D36" s="168"/>
      <c r="E36" s="167">
        <v>-12184</v>
      </c>
      <c r="F36" s="167"/>
      <c r="G36" s="167"/>
      <c r="H36" s="167"/>
      <c r="I36" s="167"/>
      <c r="J36" s="167"/>
      <c r="K36" s="167"/>
      <c r="L36" s="167"/>
      <c r="M36" s="167"/>
      <c r="N36" s="167"/>
      <c r="O36" s="167"/>
      <c r="P36" s="167"/>
      <c r="Q36" s="167"/>
      <c r="R36" s="167"/>
      <c r="S36" s="167"/>
      <c r="T36" s="167"/>
      <c r="U36" s="167"/>
      <c r="V36" s="252">
        <f t="shared" si="1"/>
        <v>1</v>
      </c>
      <c r="W36" s="339"/>
    </row>
    <row r="37" spans="1:23" ht="15">
      <c r="A37" s="169" t="s">
        <v>72</v>
      </c>
      <c r="B37" s="166"/>
      <c r="C37" s="167">
        <v>903</v>
      </c>
      <c r="D37" s="168"/>
      <c r="E37" s="167">
        <v>817</v>
      </c>
      <c r="F37" s="167"/>
      <c r="G37" s="167"/>
      <c r="H37" s="167"/>
      <c r="I37" s="167"/>
      <c r="J37" s="167"/>
      <c r="K37" s="167"/>
      <c r="L37" s="167"/>
      <c r="M37" s="167"/>
      <c r="N37" s="167"/>
      <c r="O37" s="167"/>
      <c r="P37" s="167"/>
      <c r="Q37" s="167"/>
      <c r="R37" s="167"/>
      <c r="S37" s="167"/>
      <c r="T37" s="167"/>
      <c r="U37" s="167"/>
      <c r="V37" s="252">
        <f t="shared" si="1"/>
        <v>1</v>
      </c>
      <c r="W37" s="339"/>
    </row>
    <row r="38" spans="1:23" ht="15">
      <c r="A38" s="169" t="s">
        <v>73</v>
      </c>
      <c r="B38" s="166"/>
      <c r="C38" s="167">
        <v>788</v>
      </c>
      <c r="D38" s="168"/>
      <c r="E38" s="167">
        <v>29</v>
      </c>
      <c r="F38" s="167"/>
      <c r="G38" s="167"/>
      <c r="H38" s="167"/>
      <c r="I38" s="167"/>
      <c r="J38" s="167"/>
      <c r="K38" s="167"/>
      <c r="L38" s="167"/>
      <c r="M38" s="167"/>
      <c r="N38" s="167"/>
      <c r="O38" s="167"/>
      <c r="P38" s="167"/>
      <c r="Q38" s="167"/>
      <c r="R38" s="167"/>
      <c r="S38" s="167"/>
      <c r="T38" s="167"/>
      <c r="U38" s="167"/>
      <c r="V38" s="252">
        <f t="shared" si="1"/>
        <v>1</v>
      </c>
      <c r="W38" s="339"/>
    </row>
    <row r="39" spans="1:23" ht="15">
      <c r="A39" s="171" t="s">
        <v>68</v>
      </c>
      <c r="B39" s="166"/>
      <c r="C39" s="167">
        <v>-2</v>
      </c>
      <c r="D39" s="168"/>
      <c r="E39" s="167"/>
      <c r="F39" s="167"/>
      <c r="G39" s="167"/>
      <c r="H39" s="167"/>
      <c r="I39" s="167"/>
      <c r="J39" s="167"/>
      <c r="K39" s="167"/>
      <c r="L39" s="167"/>
      <c r="M39" s="167"/>
      <c r="N39" s="167"/>
      <c r="O39" s="167"/>
      <c r="P39" s="167"/>
      <c r="Q39" s="167"/>
      <c r="R39" s="167"/>
      <c r="S39" s="167"/>
      <c r="T39" s="167"/>
      <c r="U39" s="167"/>
      <c r="V39" s="252">
        <f t="shared" si="1"/>
        <v>1</v>
      </c>
      <c r="W39" s="339"/>
    </row>
    <row r="40" spans="1:23" ht="15" hidden="1">
      <c r="A40" s="169" t="s">
        <v>69</v>
      </c>
      <c r="B40" s="166"/>
      <c r="C40" s="167"/>
      <c r="D40" s="168"/>
      <c r="E40" s="167"/>
      <c r="F40" s="167"/>
      <c r="G40" s="167"/>
      <c r="H40" s="167"/>
      <c r="I40" s="167"/>
      <c r="J40" s="167"/>
      <c r="K40" s="167"/>
      <c r="L40" s="167"/>
      <c r="M40" s="167"/>
      <c r="N40" s="167"/>
      <c r="O40" s="167"/>
      <c r="P40" s="167"/>
      <c r="Q40" s="167"/>
      <c r="R40" s="167"/>
      <c r="S40" s="167"/>
      <c r="T40" s="167"/>
      <c r="U40" s="167"/>
      <c r="V40" s="252">
        <f t="shared" si="1"/>
        <v>0</v>
      </c>
      <c r="W40" s="339"/>
    </row>
    <row r="41" spans="1:23" ht="15" hidden="1">
      <c r="A41" s="169" t="s">
        <v>70</v>
      </c>
      <c r="B41" s="166"/>
      <c r="C41" s="167"/>
      <c r="D41" s="168"/>
      <c r="E41" s="167"/>
      <c r="F41" s="167"/>
      <c r="G41" s="167"/>
      <c r="H41" s="167"/>
      <c r="I41" s="167"/>
      <c r="J41" s="167"/>
      <c r="K41" s="167"/>
      <c r="L41" s="167"/>
      <c r="M41" s="167"/>
      <c r="N41" s="167"/>
      <c r="O41" s="167"/>
      <c r="P41" s="167"/>
      <c r="Q41" s="167"/>
      <c r="R41" s="167"/>
      <c r="S41" s="167"/>
      <c r="T41" s="167"/>
      <c r="U41" s="167"/>
      <c r="V41" s="252">
        <f t="shared" si="1"/>
        <v>0</v>
      </c>
      <c r="W41" s="339"/>
    </row>
    <row r="42" spans="1:23" ht="15" hidden="1">
      <c r="A42" s="391" t="s">
        <v>85</v>
      </c>
      <c r="B42" s="166"/>
      <c r="C42" s="167"/>
      <c r="D42" s="168"/>
      <c r="E42" s="167"/>
      <c r="F42" s="167"/>
      <c r="G42" s="167"/>
      <c r="H42" s="167"/>
      <c r="I42" s="167"/>
      <c r="J42" s="167"/>
      <c r="K42" s="167"/>
      <c r="L42" s="167"/>
      <c r="M42" s="167"/>
      <c r="N42" s="167"/>
      <c r="O42" s="167"/>
      <c r="P42" s="167"/>
      <c r="Q42" s="167"/>
      <c r="R42" s="167"/>
      <c r="S42" s="167"/>
      <c r="T42" s="167"/>
      <c r="U42" s="167"/>
      <c r="V42" s="252">
        <f t="shared" si="1"/>
        <v>0</v>
      </c>
      <c r="W42" s="339"/>
    </row>
    <row r="43" spans="1:23" ht="15" hidden="1">
      <c r="A43" s="391" t="s">
        <v>87</v>
      </c>
      <c r="B43" s="166"/>
      <c r="C43" s="167"/>
      <c r="D43" s="168"/>
      <c r="E43" s="167"/>
      <c r="F43" s="167"/>
      <c r="G43" s="167"/>
      <c r="H43" s="167"/>
      <c r="I43" s="167"/>
      <c r="J43" s="167"/>
      <c r="K43" s="167"/>
      <c r="L43" s="167"/>
      <c r="M43" s="167"/>
      <c r="N43" s="167"/>
      <c r="O43" s="167"/>
      <c r="P43" s="167"/>
      <c r="Q43" s="167"/>
      <c r="R43" s="167"/>
      <c r="S43" s="167"/>
      <c r="T43" s="167"/>
      <c r="U43" s="167"/>
      <c r="V43" s="252">
        <f t="shared" si="1"/>
        <v>0</v>
      </c>
      <c r="W43" s="339"/>
    </row>
    <row r="44" spans="1:23" ht="15" hidden="1">
      <c r="A44" s="169" t="s">
        <v>74</v>
      </c>
      <c r="B44" s="170"/>
      <c r="C44" s="167"/>
      <c r="D44" s="168"/>
      <c r="E44" s="167"/>
      <c r="F44" s="167"/>
      <c r="G44" s="167"/>
      <c r="H44" s="167"/>
      <c r="I44" s="167"/>
      <c r="J44" s="167"/>
      <c r="K44" s="167"/>
      <c r="L44" s="167"/>
      <c r="M44" s="167"/>
      <c r="N44" s="167"/>
      <c r="O44" s="167"/>
      <c r="P44" s="167"/>
      <c r="Q44" s="167"/>
      <c r="R44" s="167"/>
      <c r="S44" s="167"/>
      <c r="T44" s="167"/>
      <c r="U44" s="167"/>
      <c r="V44" s="252">
        <f t="shared" si="1"/>
        <v>0</v>
      </c>
      <c r="W44" s="339"/>
    </row>
    <row r="45" spans="1:23" ht="15" hidden="1">
      <c r="A45" s="389" t="s">
        <v>98</v>
      </c>
      <c r="B45" s="170"/>
      <c r="C45" s="167"/>
      <c r="D45" s="168"/>
      <c r="E45" s="167"/>
      <c r="F45" s="167"/>
      <c r="G45" s="167"/>
      <c r="H45" s="167"/>
      <c r="I45" s="167"/>
      <c r="J45" s="167"/>
      <c r="K45" s="167"/>
      <c r="L45" s="167"/>
      <c r="M45" s="167"/>
      <c r="N45" s="167"/>
      <c r="O45" s="167"/>
      <c r="P45" s="167"/>
      <c r="Q45" s="167"/>
      <c r="R45" s="167"/>
      <c r="S45" s="167"/>
      <c r="T45" s="167"/>
      <c r="U45" s="167"/>
      <c r="V45" s="252">
        <f t="shared" si="1"/>
        <v>0</v>
      </c>
      <c r="W45" s="339"/>
    </row>
    <row r="46" spans="1:23" ht="15" hidden="1">
      <c r="A46" s="389" t="s">
        <v>99</v>
      </c>
      <c r="B46" s="170"/>
      <c r="C46" s="167"/>
      <c r="D46" s="168"/>
      <c r="E46" s="167"/>
      <c r="F46" s="167"/>
      <c r="G46" s="167"/>
      <c r="H46" s="167"/>
      <c r="I46" s="167"/>
      <c r="J46" s="167"/>
      <c r="K46" s="167"/>
      <c r="L46" s="167"/>
      <c r="M46" s="167"/>
      <c r="N46" s="167"/>
      <c r="O46" s="167"/>
      <c r="P46" s="167"/>
      <c r="Q46" s="167"/>
      <c r="R46" s="167"/>
      <c r="S46" s="167"/>
      <c r="T46" s="167"/>
      <c r="U46" s="167"/>
      <c r="V46" s="252">
        <f t="shared" si="1"/>
        <v>0</v>
      </c>
      <c r="W46" s="339"/>
    </row>
    <row r="47" spans="1:23" ht="15">
      <c r="A47" s="392" t="s">
        <v>5</v>
      </c>
      <c r="B47" s="170"/>
      <c r="C47" s="167">
        <v>-6</v>
      </c>
      <c r="D47" s="168"/>
      <c r="E47" s="167"/>
      <c r="F47" s="167"/>
      <c r="G47" s="167"/>
      <c r="H47" s="167"/>
      <c r="I47" s="167"/>
      <c r="J47" s="167"/>
      <c r="K47" s="167"/>
      <c r="L47" s="167"/>
      <c r="M47" s="167"/>
      <c r="N47" s="167"/>
      <c r="O47" s="167"/>
      <c r="P47" s="167"/>
      <c r="Q47" s="167"/>
      <c r="R47" s="167"/>
      <c r="S47" s="167"/>
      <c r="T47" s="167"/>
      <c r="U47" s="167"/>
      <c r="V47" s="252">
        <f t="shared" si="1"/>
        <v>1</v>
      </c>
      <c r="W47" s="339"/>
    </row>
    <row r="48" spans="1:23" ht="15" hidden="1">
      <c r="A48" s="389" t="s">
        <v>102</v>
      </c>
      <c r="B48" s="170"/>
      <c r="C48" s="167"/>
      <c r="D48" s="168"/>
      <c r="E48" s="167"/>
      <c r="F48" s="167"/>
      <c r="G48" s="167"/>
      <c r="H48" s="167"/>
      <c r="I48" s="167"/>
      <c r="J48" s="167"/>
      <c r="K48" s="167"/>
      <c r="L48" s="167"/>
      <c r="M48" s="167"/>
      <c r="N48" s="167"/>
      <c r="O48" s="167"/>
      <c r="P48" s="167"/>
      <c r="Q48" s="167"/>
      <c r="R48" s="167"/>
      <c r="S48" s="167"/>
      <c r="T48" s="167"/>
      <c r="U48" s="167"/>
      <c r="V48" s="252">
        <f t="shared" si="1"/>
        <v>0</v>
      </c>
      <c r="W48" s="339"/>
    </row>
    <row r="49" spans="1:23" ht="15" hidden="1">
      <c r="A49" s="389" t="s">
        <v>103</v>
      </c>
      <c r="B49" s="186"/>
      <c r="C49" s="167"/>
      <c r="D49" s="168"/>
      <c r="E49" s="167"/>
      <c r="F49" s="167"/>
      <c r="G49" s="167"/>
      <c r="H49" s="167"/>
      <c r="I49" s="167"/>
      <c r="J49" s="167"/>
      <c r="K49" s="167"/>
      <c r="L49" s="167"/>
      <c r="M49" s="167"/>
      <c r="N49" s="167"/>
      <c r="O49" s="167"/>
      <c r="P49" s="167"/>
      <c r="Q49" s="167"/>
      <c r="R49" s="167"/>
      <c r="S49" s="167"/>
      <c r="T49" s="167"/>
      <c r="U49" s="167"/>
      <c r="V49" s="252">
        <f t="shared" si="1"/>
        <v>0</v>
      </c>
      <c r="W49" s="339"/>
    </row>
    <row r="50" spans="1:23" ht="15.75" thickBot="1">
      <c r="A50" s="191" t="s">
        <v>10</v>
      </c>
      <c r="B50" s="186"/>
      <c r="C50" s="192">
        <f>SUM(C30:C49)</f>
        <v>830</v>
      </c>
      <c r="D50" s="193"/>
      <c r="E50" s="192">
        <f>SUM(E30:E49)</f>
        <v>-11358</v>
      </c>
      <c r="F50" s="194"/>
      <c r="G50" s="194"/>
      <c r="H50" s="194"/>
      <c r="I50" s="194"/>
      <c r="J50" s="194"/>
      <c r="K50" s="194"/>
      <c r="L50" s="194"/>
      <c r="M50" s="194"/>
      <c r="N50" s="194"/>
      <c r="O50" s="194"/>
      <c r="P50" s="194"/>
      <c r="Q50" s="194"/>
      <c r="R50" s="194"/>
      <c r="S50" s="194"/>
      <c r="T50" s="194"/>
      <c r="U50" s="194"/>
      <c r="V50" s="252">
        <f t="shared" si="1"/>
        <v>1</v>
      </c>
      <c r="W50" s="252"/>
    </row>
    <row r="51" spans="1:23" ht="10.5" customHeight="1" thickTop="1">
      <c r="A51" s="189"/>
      <c r="B51" s="186"/>
      <c r="C51" s="187"/>
      <c r="D51" s="188"/>
      <c r="E51" s="187"/>
      <c r="F51" s="187"/>
      <c r="G51" s="187"/>
      <c r="H51" s="187"/>
      <c r="I51" s="187"/>
      <c r="J51" s="187"/>
      <c r="K51" s="187"/>
      <c r="L51" s="187"/>
      <c r="M51" s="187"/>
      <c r="N51" s="187"/>
      <c r="O51" s="187"/>
      <c r="P51" s="187"/>
      <c r="Q51" s="187"/>
      <c r="R51" s="187"/>
      <c r="S51" s="187"/>
      <c r="T51" s="187"/>
      <c r="U51" s="187"/>
      <c r="V51" s="252">
        <f>IF(V52=0,0,V52)</f>
        <v>1</v>
      </c>
      <c r="W51" s="252"/>
    </row>
    <row r="52" spans="1:23" ht="15">
      <c r="A52" s="185" t="s">
        <v>196</v>
      </c>
      <c r="B52" s="186"/>
      <c r="C52" s="187"/>
      <c r="D52" s="188"/>
      <c r="E52" s="187"/>
      <c r="F52" s="187"/>
      <c r="G52" s="187"/>
      <c r="H52" s="187"/>
      <c r="I52" s="187"/>
      <c r="J52" s="187"/>
      <c r="K52" s="187"/>
      <c r="L52" s="187"/>
      <c r="M52" s="187"/>
      <c r="N52" s="187"/>
      <c r="O52" s="187"/>
      <c r="P52" s="187"/>
      <c r="Q52" s="187"/>
      <c r="R52" s="187"/>
      <c r="S52" s="187"/>
      <c r="T52" s="187"/>
      <c r="U52" s="187"/>
      <c r="V52" s="252">
        <f>IF(V72=0,0,1)</f>
        <v>1</v>
      </c>
      <c r="W52" s="339"/>
    </row>
    <row r="53" spans="1:23" ht="15">
      <c r="A53" s="171" t="s">
        <v>192</v>
      </c>
      <c r="B53" s="166"/>
      <c r="C53" s="167"/>
      <c r="D53" s="168"/>
      <c r="E53" s="167">
        <v>12644</v>
      </c>
      <c r="F53" s="167"/>
      <c r="G53" s="167"/>
      <c r="H53" s="167"/>
      <c r="I53" s="167"/>
      <c r="J53" s="167"/>
      <c r="K53" s="167"/>
      <c r="L53" s="167"/>
      <c r="M53" s="167"/>
      <c r="N53" s="167"/>
      <c r="O53" s="167"/>
      <c r="P53" s="167"/>
      <c r="Q53" s="167"/>
      <c r="R53" s="167"/>
      <c r="S53" s="167"/>
      <c r="T53" s="167"/>
      <c r="U53" s="167"/>
      <c r="V53" s="252">
        <f aca="true" t="shared" si="2" ref="V53:V72">IF(AND(C53=0,E53=0),0,1)</f>
        <v>1</v>
      </c>
      <c r="W53" s="339"/>
    </row>
    <row r="54" spans="1:23" ht="15">
      <c r="A54" s="171" t="s">
        <v>193</v>
      </c>
      <c r="B54" s="166"/>
      <c r="C54" s="167"/>
      <c r="D54" s="168"/>
      <c r="E54" s="167">
        <v>-37</v>
      </c>
      <c r="F54" s="167"/>
      <c r="G54" s="167"/>
      <c r="H54" s="167"/>
      <c r="I54" s="167"/>
      <c r="J54" s="167"/>
      <c r="K54" s="167"/>
      <c r="L54" s="167"/>
      <c r="M54" s="167"/>
      <c r="N54" s="167"/>
      <c r="O54" s="167"/>
      <c r="P54" s="167"/>
      <c r="Q54" s="167"/>
      <c r="R54" s="167"/>
      <c r="S54" s="167"/>
      <c r="T54" s="167"/>
      <c r="U54" s="167"/>
      <c r="V54" s="252">
        <f t="shared" si="2"/>
        <v>1</v>
      </c>
      <c r="W54" s="339"/>
    </row>
    <row r="55" spans="1:23" ht="30" hidden="1">
      <c r="A55" s="169" t="s">
        <v>110</v>
      </c>
      <c r="B55" s="166"/>
      <c r="C55" s="167"/>
      <c r="D55" s="168"/>
      <c r="E55" s="167"/>
      <c r="F55" s="167"/>
      <c r="G55" s="167"/>
      <c r="H55" s="167"/>
      <c r="I55" s="167"/>
      <c r="J55" s="167"/>
      <c r="K55" s="167"/>
      <c r="L55" s="167"/>
      <c r="M55" s="167"/>
      <c r="N55" s="167"/>
      <c r="O55" s="167"/>
      <c r="P55" s="167"/>
      <c r="Q55" s="167"/>
      <c r="R55" s="167"/>
      <c r="S55" s="167"/>
      <c r="T55" s="167"/>
      <c r="U55" s="167"/>
      <c r="V55" s="252">
        <f t="shared" si="2"/>
        <v>0</v>
      </c>
      <c r="W55" s="339"/>
    </row>
    <row r="56" spans="1:23" ht="30" hidden="1">
      <c r="A56" s="169" t="s">
        <v>111</v>
      </c>
      <c r="B56" s="166"/>
      <c r="C56" s="167"/>
      <c r="D56" s="168"/>
      <c r="E56" s="167"/>
      <c r="F56" s="167"/>
      <c r="G56" s="167"/>
      <c r="H56" s="167"/>
      <c r="I56" s="167"/>
      <c r="J56" s="167"/>
      <c r="K56" s="167"/>
      <c r="L56" s="167"/>
      <c r="M56" s="167"/>
      <c r="N56" s="167"/>
      <c r="O56" s="167"/>
      <c r="P56" s="167"/>
      <c r="Q56" s="167"/>
      <c r="R56" s="167"/>
      <c r="S56" s="167"/>
      <c r="T56" s="167"/>
      <c r="U56" s="167"/>
      <c r="V56" s="252">
        <f t="shared" si="2"/>
        <v>0</v>
      </c>
      <c r="W56" s="339"/>
    </row>
    <row r="57" spans="1:23" ht="15" hidden="1">
      <c r="A57" s="171" t="s">
        <v>82</v>
      </c>
      <c r="B57" s="166"/>
      <c r="C57" s="167"/>
      <c r="D57" s="168"/>
      <c r="E57" s="167"/>
      <c r="F57" s="167"/>
      <c r="G57" s="167"/>
      <c r="H57" s="167"/>
      <c r="I57" s="167"/>
      <c r="J57" s="167"/>
      <c r="K57" s="167"/>
      <c r="L57" s="167"/>
      <c r="M57" s="167"/>
      <c r="N57" s="167"/>
      <c r="O57" s="167"/>
      <c r="P57" s="167"/>
      <c r="Q57" s="167"/>
      <c r="R57" s="167"/>
      <c r="S57" s="167"/>
      <c r="T57" s="167"/>
      <c r="U57" s="167"/>
      <c r="V57" s="252">
        <f t="shared" si="2"/>
        <v>0</v>
      </c>
      <c r="W57" s="339"/>
    </row>
    <row r="58" spans="1:23" ht="15" hidden="1">
      <c r="A58" s="389" t="s">
        <v>83</v>
      </c>
      <c r="B58" s="166"/>
      <c r="C58" s="167"/>
      <c r="D58" s="168"/>
      <c r="E58" s="167"/>
      <c r="F58" s="167"/>
      <c r="G58" s="167"/>
      <c r="H58" s="167"/>
      <c r="I58" s="167"/>
      <c r="J58" s="167"/>
      <c r="K58" s="167"/>
      <c r="L58" s="167"/>
      <c r="M58" s="167"/>
      <c r="N58" s="167"/>
      <c r="O58" s="167"/>
      <c r="P58" s="167"/>
      <c r="Q58" s="167"/>
      <c r="R58" s="167"/>
      <c r="S58" s="167"/>
      <c r="T58" s="167"/>
      <c r="U58" s="167"/>
      <c r="V58" s="252">
        <f t="shared" si="2"/>
        <v>0</v>
      </c>
      <c r="W58" s="339"/>
    </row>
    <row r="59" spans="1:23" ht="15">
      <c r="A59" s="169" t="s">
        <v>75</v>
      </c>
      <c r="B59" s="166"/>
      <c r="C59" s="167">
        <v>433</v>
      </c>
      <c r="D59" s="168"/>
      <c r="E59" s="167">
        <v>3678</v>
      </c>
      <c r="F59" s="167"/>
      <c r="G59" s="167"/>
      <c r="H59" s="167"/>
      <c r="I59" s="167"/>
      <c r="J59" s="167"/>
      <c r="K59" s="167"/>
      <c r="L59" s="167"/>
      <c r="M59" s="167"/>
      <c r="N59" s="167"/>
      <c r="O59" s="167"/>
      <c r="P59" s="167"/>
      <c r="Q59" s="167"/>
      <c r="R59" s="167"/>
      <c r="S59" s="167"/>
      <c r="T59" s="167"/>
      <c r="U59" s="167"/>
      <c r="V59" s="252">
        <f t="shared" si="2"/>
        <v>1</v>
      </c>
      <c r="W59" s="339"/>
    </row>
    <row r="60" spans="1:23" ht="15">
      <c r="A60" s="169" t="s">
        <v>76</v>
      </c>
      <c r="B60" s="166"/>
      <c r="C60" s="167">
        <v>-408</v>
      </c>
      <c r="D60" s="168"/>
      <c r="E60" s="167">
        <v>-4169</v>
      </c>
      <c r="F60" s="167"/>
      <c r="G60" s="167"/>
      <c r="H60" s="167"/>
      <c r="I60" s="167"/>
      <c r="J60" s="167"/>
      <c r="K60" s="167"/>
      <c r="L60" s="167"/>
      <c r="M60" s="167"/>
      <c r="N60" s="167"/>
      <c r="O60" s="167"/>
      <c r="P60" s="167"/>
      <c r="Q60" s="167"/>
      <c r="R60" s="167"/>
      <c r="S60" s="167"/>
      <c r="T60" s="167"/>
      <c r="U60" s="167"/>
      <c r="V60" s="252">
        <f t="shared" si="2"/>
        <v>1</v>
      </c>
      <c r="W60" s="339"/>
    </row>
    <row r="61" spans="1:23" ht="15">
      <c r="A61" s="169" t="s">
        <v>79</v>
      </c>
      <c r="B61" s="166"/>
      <c r="C61" s="167">
        <v>-32</v>
      </c>
      <c r="D61" s="168"/>
      <c r="E61" s="167">
        <v>-112</v>
      </c>
      <c r="F61" s="167"/>
      <c r="G61" s="167"/>
      <c r="H61" s="167"/>
      <c r="I61" s="167"/>
      <c r="J61" s="167"/>
      <c r="K61" s="167"/>
      <c r="L61" s="167"/>
      <c r="M61" s="167"/>
      <c r="N61" s="167"/>
      <c r="O61" s="167"/>
      <c r="P61" s="167"/>
      <c r="Q61" s="167"/>
      <c r="R61" s="167"/>
      <c r="S61" s="167"/>
      <c r="T61" s="167"/>
      <c r="U61" s="167"/>
      <c r="V61" s="252">
        <f t="shared" si="2"/>
        <v>1</v>
      </c>
      <c r="W61" s="339"/>
    </row>
    <row r="62" spans="1:23" ht="15" hidden="1">
      <c r="A62" s="169" t="s">
        <v>77</v>
      </c>
      <c r="B62" s="166"/>
      <c r="C62" s="167"/>
      <c r="D62" s="168"/>
      <c r="E62" s="167"/>
      <c r="F62" s="167"/>
      <c r="G62" s="167"/>
      <c r="H62" s="167"/>
      <c r="I62" s="167"/>
      <c r="J62" s="167"/>
      <c r="K62" s="167"/>
      <c r="L62" s="167"/>
      <c r="M62" s="167"/>
      <c r="N62" s="167"/>
      <c r="O62" s="167"/>
      <c r="P62" s="167"/>
      <c r="Q62" s="167"/>
      <c r="R62" s="167"/>
      <c r="S62" s="167"/>
      <c r="T62" s="167"/>
      <c r="U62" s="167"/>
      <c r="V62" s="252">
        <f t="shared" si="2"/>
        <v>0</v>
      </c>
      <c r="W62" s="339"/>
    </row>
    <row r="63" spans="1:23" ht="15" hidden="1">
      <c r="A63" s="169" t="s">
        <v>78</v>
      </c>
      <c r="B63" s="166"/>
      <c r="C63" s="167"/>
      <c r="D63" s="166"/>
      <c r="E63" s="167"/>
      <c r="F63" s="167"/>
      <c r="G63" s="167"/>
      <c r="H63" s="167"/>
      <c r="I63" s="167"/>
      <c r="J63" s="167"/>
      <c r="K63" s="167"/>
      <c r="L63" s="167"/>
      <c r="M63" s="167"/>
      <c r="N63" s="167"/>
      <c r="O63" s="167"/>
      <c r="P63" s="167"/>
      <c r="Q63" s="167"/>
      <c r="R63" s="167"/>
      <c r="S63" s="167"/>
      <c r="T63" s="167"/>
      <c r="U63" s="167"/>
      <c r="V63" s="252">
        <f t="shared" si="2"/>
        <v>0</v>
      </c>
      <c r="W63" s="339"/>
    </row>
    <row r="64" spans="1:23" ht="15" hidden="1">
      <c r="A64" s="169" t="s">
        <v>80</v>
      </c>
      <c r="B64" s="166"/>
      <c r="C64" s="167"/>
      <c r="D64" s="166"/>
      <c r="E64" s="167"/>
      <c r="F64" s="167"/>
      <c r="G64" s="167"/>
      <c r="H64" s="167"/>
      <c r="I64" s="167"/>
      <c r="J64" s="167"/>
      <c r="K64" s="167"/>
      <c r="L64" s="167"/>
      <c r="M64" s="167"/>
      <c r="N64" s="167"/>
      <c r="O64" s="167"/>
      <c r="P64" s="167"/>
      <c r="Q64" s="167"/>
      <c r="R64" s="167"/>
      <c r="S64" s="167"/>
      <c r="T64" s="167"/>
      <c r="U64" s="167"/>
      <c r="V64" s="252">
        <f t="shared" si="2"/>
        <v>0</v>
      </c>
      <c r="W64" s="339"/>
    </row>
    <row r="65" spans="1:23" ht="15">
      <c r="A65" s="169" t="s">
        <v>86</v>
      </c>
      <c r="B65" s="166"/>
      <c r="C65" s="167">
        <v>-17</v>
      </c>
      <c r="D65" s="166"/>
      <c r="E65" s="167"/>
      <c r="F65" s="167"/>
      <c r="G65" s="167"/>
      <c r="H65" s="167"/>
      <c r="I65" s="167"/>
      <c r="J65" s="167"/>
      <c r="K65" s="167"/>
      <c r="L65" s="167"/>
      <c r="M65" s="167"/>
      <c r="N65" s="167"/>
      <c r="O65" s="167"/>
      <c r="P65" s="167"/>
      <c r="Q65" s="167"/>
      <c r="R65" s="167"/>
      <c r="S65" s="167"/>
      <c r="T65" s="167"/>
      <c r="U65" s="167"/>
      <c r="V65" s="252">
        <f t="shared" si="2"/>
        <v>1</v>
      </c>
      <c r="W65" s="339"/>
    </row>
    <row r="66" spans="1:23" ht="15" hidden="1">
      <c r="A66" s="169" t="s">
        <v>74</v>
      </c>
      <c r="B66" s="170"/>
      <c r="C66" s="167"/>
      <c r="D66" s="168"/>
      <c r="E66" s="167"/>
      <c r="F66" s="167"/>
      <c r="G66" s="167"/>
      <c r="H66" s="167"/>
      <c r="I66" s="167"/>
      <c r="J66" s="167"/>
      <c r="K66" s="167"/>
      <c r="L66" s="167"/>
      <c r="M66" s="167"/>
      <c r="N66" s="167"/>
      <c r="O66" s="167"/>
      <c r="P66" s="167"/>
      <c r="Q66" s="167"/>
      <c r="R66" s="167"/>
      <c r="S66" s="167"/>
      <c r="T66" s="167"/>
      <c r="U66" s="167"/>
      <c r="V66" s="252">
        <f t="shared" si="2"/>
        <v>0</v>
      </c>
      <c r="W66" s="339"/>
    </row>
    <row r="67" spans="1:23" ht="15" hidden="1">
      <c r="A67" s="389" t="s">
        <v>98</v>
      </c>
      <c r="B67" s="170"/>
      <c r="C67" s="167"/>
      <c r="D67" s="168"/>
      <c r="E67" s="167"/>
      <c r="F67" s="167"/>
      <c r="G67" s="167"/>
      <c r="H67" s="167"/>
      <c r="I67" s="167"/>
      <c r="J67" s="167"/>
      <c r="K67" s="167"/>
      <c r="L67" s="167"/>
      <c r="M67" s="167"/>
      <c r="N67" s="167"/>
      <c r="O67" s="167"/>
      <c r="P67" s="167"/>
      <c r="Q67" s="167"/>
      <c r="R67" s="167"/>
      <c r="S67" s="167"/>
      <c r="T67" s="167"/>
      <c r="U67" s="167"/>
      <c r="V67" s="252">
        <f t="shared" si="2"/>
        <v>0</v>
      </c>
      <c r="W67" s="339"/>
    </row>
    <row r="68" spans="1:23" ht="15" hidden="1">
      <c r="A68" s="389" t="s">
        <v>99</v>
      </c>
      <c r="B68" s="170"/>
      <c r="C68" s="167"/>
      <c r="D68" s="168"/>
      <c r="E68" s="167"/>
      <c r="F68" s="167"/>
      <c r="G68" s="167"/>
      <c r="H68" s="167"/>
      <c r="I68" s="167"/>
      <c r="J68" s="167"/>
      <c r="K68" s="167"/>
      <c r="L68" s="167"/>
      <c r="M68" s="167"/>
      <c r="N68" s="167"/>
      <c r="O68" s="167"/>
      <c r="P68" s="167"/>
      <c r="Q68" s="167"/>
      <c r="R68" s="167"/>
      <c r="S68" s="167"/>
      <c r="T68" s="167"/>
      <c r="U68" s="167"/>
      <c r="V68" s="252">
        <f t="shared" si="2"/>
        <v>0</v>
      </c>
      <c r="W68" s="339"/>
    </row>
    <row r="69" spans="1:23" ht="15" hidden="1">
      <c r="A69" s="189" t="s">
        <v>153</v>
      </c>
      <c r="B69" s="170"/>
      <c r="C69" s="167"/>
      <c r="D69" s="168"/>
      <c r="E69" s="167"/>
      <c r="F69" s="167"/>
      <c r="G69" s="167"/>
      <c r="H69" s="167"/>
      <c r="I69" s="167"/>
      <c r="J69" s="167"/>
      <c r="K69" s="167"/>
      <c r="L69" s="167"/>
      <c r="M69" s="167"/>
      <c r="N69" s="167"/>
      <c r="O69" s="167"/>
      <c r="P69" s="167"/>
      <c r="Q69" s="167"/>
      <c r="R69" s="167"/>
      <c r="S69" s="167"/>
      <c r="T69" s="167"/>
      <c r="U69" s="167"/>
      <c r="V69" s="252">
        <f t="shared" si="2"/>
        <v>0</v>
      </c>
      <c r="W69" s="339"/>
    </row>
    <row r="70" spans="1:23" ht="15" hidden="1">
      <c r="A70" s="389" t="s">
        <v>102</v>
      </c>
      <c r="B70" s="170"/>
      <c r="C70" s="167"/>
      <c r="D70" s="168"/>
      <c r="E70" s="167"/>
      <c r="F70" s="167"/>
      <c r="G70" s="167"/>
      <c r="H70" s="167"/>
      <c r="I70" s="167"/>
      <c r="J70" s="167"/>
      <c r="K70" s="167"/>
      <c r="L70" s="167"/>
      <c r="M70" s="167"/>
      <c r="N70" s="167"/>
      <c r="O70" s="167"/>
      <c r="P70" s="167"/>
      <c r="Q70" s="167"/>
      <c r="R70" s="167"/>
      <c r="S70" s="167"/>
      <c r="T70" s="167"/>
      <c r="U70" s="167"/>
      <c r="V70" s="252">
        <f t="shared" si="2"/>
        <v>0</v>
      </c>
      <c r="W70" s="339"/>
    </row>
    <row r="71" spans="1:23" ht="15" hidden="1">
      <c r="A71" s="389" t="s">
        <v>103</v>
      </c>
      <c r="B71" s="186"/>
      <c r="C71" s="167"/>
      <c r="D71" s="168"/>
      <c r="E71" s="167"/>
      <c r="F71" s="167"/>
      <c r="G71" s="167"/>
      <c r="H71" s="167"/>
      <c r="I71" s="167"/>
      <c r="J71" s="167"/>
      <c r="K71" s="167"/>
      <c r="L71" s="167"/>
      <c r="M71" s="167"/>
      <c r="N71" s="167"/>
      <c r="O71" s="167"/>
      <c r="P71" s="167"/>
      <c r="Q71" s="167"/>
      <c r="R71" s="167"/>
      <c r="S71" s="167"/>
      <c r="T71" s="167"/>
      <c r="U71" s="167"/>
      <c r="V71" s="252">
        <f t="shared" si="2"/>
        <v>0</v>
      </c>
      <c r="W71" s="339"/>
    </row>
    <row r="72" spans="1:23" ht="15.75" thickBot="1">
      <c r="A72" s="191" t="s">
        <v>197</v>
      </c>
      <c r="B72" s="186"/>
      <c r="C72" s="192">
        <f>SUM(C53:C71)</f>
        <v>-24</v>
      </c>
      <c r="D72" s="193"/>
      <c r="E72" s="192">
        <f>SUM(E53:E71)</f>
        <v>12004</v>
      </c>
      <c r="F72" s="194"/>
      <c r="G72" s="194"/>
      <c r="H72" s="194"/>
      <c r="I72" s="194"/>
      <c r="J72" s="194"/>
      <c r="K72" s="194"/>
      <c r="L72" s="194"/>
      <c r="M72" s="194"/>
      <c r="N72" s="194"/>
      <c r="O72" s="194"/>
      <c r="P72" s="194"/>
      <c r="Q72" s="194"/>
      <c r="R72" s="194"/>
      <c r="S72" s="194"/>
      <c r="T72" s="194"/>
      <c r="U72" s="194"/>
      <c r="V72" s="252">
        <f t="shared" si="2"/>
        <v>1</v>
      </c>
      <c r="W72" s="252"/>
    </row>
    <row r="73" spans="1:23" ht="10.5" customHeight="1" thickTop="1">
      <c r="A73" s="195"/>
      <c r="B73" s="186"/>
      <c r="C73" s="187"/>
      <c r="D73" s="186"/>
      <c r="E73" s="187"/>
      <c r="F73" s="187"/>
      <c r="G73" s="187"/>
      <c r="H73" s="187"/>
      <c r="I73" s="187"/>
      <c r="J73" s="187"/>
      <c r="K73" s="187"/>
      <c r="L73" s="187"/>
      <c r="M73" s="187"/>
      <c r="N73" s="187"/>
      <c r="O73" s="187"/>
      <c r="P73" s="187"/>
      <c r="Q73" s="187"/>
      <c r="R73" s="187"/>
      <c r="S73" s="187"/>
      <c r="T73" s="187"/>
      <c r="U73" s="187"/>
      <c r="V73" s="252">
        <f>IF(V74=0,0,V74)</f>
        <v>2</v>
      </c>
      <c r="W73" s="252"/>
    </row>
    <row r="74" spans="1:23" ht="30">
      <c r="A74" s="196" t="s">
        <v>11</v>
      </c>
      <c r="B74" s="190"/>
      <c r="C74" s="197">
        <f>SUM(C27,C50,C72)</f>
        <v>-30</v>
      </c>
      <c r="D74" s="198"/>
      <c r="E74" s="197">
        <f>SUM(E27,E50,E72)</f>
        <v>13</v>
      </c>
      <c r="F74" s="194"/>
      <c r="G74" s="194"/>
      <c r="H74" s="194"/>
      <c r="I74" s="194"/>
      <c r="J74" s="194"/>
      <c r="K74" s="194"/>
      <c r="L74" s="194"/>
      <c r="M74" s="194"/>
      <c r="N74" s="194"/>
      <c r="O74" s="194"/>
      <c r="P74" s="194"/>
      <c r="Q74" s="194"/>
      <c r="R74" s="194"/>
      <c r="S74" s="194"/>
      <c r="T74" s="194"/>
      <c r="U74" s="194"/>
      <c r="V74" s="253">
        <v>2</v>
      </c>
      <c r="W74" s="339"/>
    </row>
    <row r="75" spans="1:23" ht="10.5" customHeight="1">
      <c r="A75" s="195"/>
      <c r="B75" s="186"/>
      <c r="C75" s="187"/>
      <c r="D75" s="186"/>
      <c r="E75" s="187"/>
      <c r="F75" s="187"/>
      <c r="G75" s="187"/>
      <c r="H75" s="187"/>
      <c r="I75" s="187"/>
      <c r="J75" s="187"/>
      <c r="K75" s="187"/>
      <c r="L75" s="187"/>
      <c r="M75" s="187"/>
      <c r="N75" s="187"/>
      <c r="O75" s="187"/>
      <c r="P75" s="187"/>
      <c r="Q75" s="187"/>
      <c r="R75" s="187"/>
      <c r="S75" s="187"/>
      <c r="T75" s="187"/>
      <c r="U75" s="187"/>
      <c r="V75" s="252">
        <f>IF(V76=0,0,V76)</f>
        <v>2</v>
      </c>
      <c r="W75" s="252"/>
    </row>
    <row r="76" spans="1:23" ht="15">
      <c r="A76" s="196" t="s">
        <v>139</v>
      </c>
      <c r="B76" s="190"/>
      <c r="C76" s="173">
        <v>52</v>
      </c>
      <c r="D76" s="174"/>
      <c r="E76" s="173">
        <v>39</v>
      </c>
      <c r="F76" s="172"/>
      <c r="G76" s="172"/>
      <c r="H76" s="172"/>
      <c r="I76" s="172"/>
      <c r="J76" s="172"/>
      <c r="K76" s="172"/>
      <c r="L76" s="172"/>
      <c r="M76" s="172"/>
      <c r="N76" s="172"/>
      <c r="O76" s="172"/>
      <c r="P76" s="172"/>
      <c r="Q76" s="172"/>
      <c r="R76" s="172"/>
      <c r="S76" s="172"/>
      <c r="T76" s="172"/>
      <c r="U76" s="172"/>
      <c r="V76" s="253">
        <v>2</v>
      </c>
      <c r="W76" s="339"/>
    </row>
    <row r="77" spans="1:23" ht="10.5" customHeight="1">
      <c r="A77" s="195"/>
      <c r="B77" s="186"/>
      <c r="C77" s="187"/>
      <c r="D77" s="186"/>
      <c r="E77" s="187"/>
      <c r="F77" s="187"/>
      <c r="G77" s="187"/>
      <c r="H77" s="187"/>
      <c r="I77" s="187"/>
      <c r="J77" s="187"/>
      <c r="K77" s="187"/>
      <c r="L77" s="187"/>
      <c r="M77" s="187"/>
      <c r="N77" s="187"/>
      <c r="O77" s="187"/>
      <c r="P77" s="187"/>
      <c r="Q77" s="187"/>
      <c r="R77" s="187"/>
      <c r="S77" s="187"/>
      <c r="T77" s="187"/>
      <c r="U77" s="187"/>
      <c r="V77" s="252">
        <f>IF(V78=0,0,V78)</f>
        <v>2</v>
      </c>
      <c r="W77" s="252"/>
    </row>
    <row r="78" spans="1:23" ht="30.75" thickBot="1">
      <c r="A78" s="199" t="str">
        <f>CONCATENATE("Парични средства и парични еквиваленти на ",НАЧАЛО!AA1," ",CHOOSE(НАЧАЛО!AB1,НАЧАЛО!AI1,НАЧАЛО!AI2,НАЧАЛО!AI3,НАЧАЛО!AI4,НАЧАЛО!AI5,НАЧАЛО!AI6,НАЧАЛО!AI7,НАЧАЛО!AI8,НАЧАЛО!AI9,НАЧАЛО!AI10,НАЧАЛО!AI11,НАЧАЛО!AI12))</f>
        <v>Парични средства и парични еквиваленти на 31 декември</v>
      </c>
      <c r="B78" s="190"/>
      <c r="C78" s="200">
        <f>SUM(C74,C76)</f>
        <v>22</v>
      </c>
      <c r="D78" s="198"/>
      <c r="E78" s="200">
        <f>SUM(E74,E76)</f>
        <v>52</v>
      </c>
      <c r="F78" s="194"/>
      <c r="G78" s="194"/>
      <c r="H78" s="194"/>
      <c r="I78" s="194"/>
      <c r="J78" s="194"/>
      <c r="K78" s="194"/>
      <c r="L78" s="194"/>
      <c r="M78" s="194"/>
      <c r="N78" s="194"/>
      <c r="O78" s="194"/>
      <c r="P78" s="194"/>
      <c r="Q78" s="194"/>
      <c r="R78" s="194"/>
      <c r="S78" s="194"/>
      <c r="T78" s="194"/>
      <c r="U78" s="194"/>
      <c r="V78" s="253">
        <v>2</v>
      </c>
      <c r="W78" s="339"/>
    </row>
    <row r="79" spans="1:23" ht="15">
      <c r="A79" s="340"/>
      <c r="B79" s="341"/>
      <c r="C79" s="342"/>
      <c r="D79" s="343"/>
      <c r="E79" s="342"/>
      <c r="F79" s="194"/>
      <c r="G79" s="194"/>
      <c r="H79" s="194"/>
      <c r="I79" s="194"/>
      <c r="J79" s="194"/>
      <c r="K79" s="194"/>
      <c r="L79" s="194"/>
      <c r="M79" s="194"/>
      <c r="N79" s="194"/>
      <c r="O79" s="393"/>
      <c r="P79" s="393"/>
      <c r="Q79" s="194"/>
      <c r="R79" s="194"/>
      <c r="S79" s="194"/>
      <c r="T79" s="194"/>
      <c r="U79" s="194"/>
      <c r="V79" s="253">
        <v>2</v>
      </c>
      <c r="W79" s="394"/>
    </row>
    <row r="80" spans="1:23" ht="15">
      <c r="A80" s="350" t="s">
        <v>94</v>
      </c>
      <c r="B80" s="341"/>
      <c r="C80" s="342"/>
      <c r="D80" s="343"/>
      <c r="E80" s="342"/>
      <c r="F80" s="194"/>
      <c r="G80" s="194"/>
      <c r="H80" s="194"/>
      <c r="I80" s="194"/>
      <c r="J80" s="194"/>
      <c r="K80" s="194"/>
      <c r="L80" s="194"/>
      <c r="M80" s="194"/>
      <c r="N80" s="194"/>
      <c r="O80" s="393">
        <f>COUNTA(W7:W78)</f>
        <v>0</v>
      </c>
      <c r="P80" s="393" t="s">
        <v>88</v>
      </c>
      <c r="Q80" s="194"/>
      <c r="R80" s="194"/>
      <c r="S80" s="194"/>
      <c r="T80" s="194"/>
      <c r="U80" s="194"/>
      <c r="V80" s="253">
        <v>2</v>
      </c>
      <c r="W80" s="394"/>
    </row>
    <row r="81" spans="1:23" ht="15">
      <c r="A81" s="201">
        <f>IF(AND(C$81="",E$81=""),"","Разлика в паричните средства между ОПП и БАЛАНСА!")</f>
      </c>
      <c r="B81" s="202"/>
      <c r="C81" s="203">
        <f>IF(C78=баланс!F39,"",ОПП!C78-баланс!F39)</f>
      </c>
      <c r="D81" s="204"/>
      <c r="E81" s="203">
        <f>IF(НАЧАЛО!AB$3=1,IF(E$78=баланс!I$39,"",ОПП!E$78-баланс!I$39),"")</f>
      </c>
      <c r="F81" s="256"/>
      <c r="G81" s="256"/>
      <c r="H81" s="256"/>
      <c r="I81" s="256"/>
      <c r="J81" s="256"/>
      <c r="K81" s="256"/>
      <c r="L81" s="256"/>
      <c r="M81" s="256"/>
      <c r="N81" s="256"/>
      <c r="O81" s="256"/>
      <c r="P81" s="256"/>
      <c r="Q81" s="256"/>
      <c r="R81" s="256"/>
      <c r="S81" s="256"/>
      <c r="T81" s="256"/>
      <c r="U81" s="256"/>
      <c r="V81" s="253">
        <v>2</v>
      </c>
      <c r="W81" s="394"/>
    </row>
    <row r="82" spans="1:23" ht="15">
      <c r="A82" s="302" t="str">
        <f>ОД!A71</f>
        <v>Приложенията от страница 7 до страница 45 са неразделна част от финансовия отчет.</v>
      </c>
      <c r="B82" s="302"/>
      <c r="C82" s="302"/>
      <c r="D82" s="302"/>
      <c r="E82" s="302"/>
      <c r="F82" s="257"/>
      <c r="G82" s="257"/>
      <c r="H82" s="257"/>
      <c r="I82" s="257"/>
      <c r="J82" s="257"/>
      <c r="K82" s="257"/>
      <c r="L82" s="257"/>
      <c r="M82" s="257"/>
      <c r="N82" s="257"/>
      <c r="O82" s="257"/>
      <c r="P82" s="257"/>
      <c r="Q82" s="257"/>
      <c r="R82" s="257"/>
      <c r="S82" s="257"/>
      <c r="T82" s="257"/>
      <c r="U82" s="257"/>
      <c r="V82" s="253">
        <v>2</v>
      </c>
      <c r="W82" s="394"/>
    </row>
    <row r="83" spans="1:23" ht="15">
      <c r="A83" s="205">
        <f>IF(AND(C$81="",E$81=""),"","Парични средства в баланса БАЛАНСА:")</f>
      </c>
      <c r="B83" s="206"/>
      <c r="C83" s="207">
        <f>IF(C$78=баланс!F$39,"",баланс!F$39)</f>
      </c>
      <c r="D83" s="206"/>
      <c r="E83" s="207">
        <f>IF(НАЧАЛО!AB$3=1,IF(E$78=баланс!I$39,"",баланс!I$39),"")</f>
      </c>
      <c r="F83" s="258"/>
      <c r="G83" s="258"/>
      <c r="H83" s="258"/>
      <c r="I83" s="258"/>
      <c r="J83" s="258"/>
      <c r="K83" s="258"/>
      <c r="L83" s="258"/>
      <c r="M83" s="258"/>
      <c r="N83" s="258"/>
      <c r="O83" s="258"/>
      <c r="P83" s="258"/>
      <c r="Q83" s="258"/>
      <c r="R83" s="258"/>
      <c r="S83" s="258"/>
      <c r="T83" s="258"/>
      <c r="U83" s="258"/>
      <c r="V83" s="253">
        <v>2</v>
      </c>
      <c r="W83" s="394"/>
    </row>
    <row r="84" spans="1:23" ht="15">
      <c r="A84" s="92" t="str">
        <f>НАЧАЛО!$A$44</f>
        <v>Представляващ:</v>
      </c>
      <c r="B84" s="202"/>
      <c r="C84" s="208"/>
      <c r="D84" s="204"/>
      <c r="E84" s="208"/>
      <c r="F84" s="259"/>
      <c r="G84" s="259"/>
      <c r="H84" s="259"/>
      <c r="I84" s="259"/>
      <c r="J84" s="259"/>
      <c r="K84" s="259"/>
      <c r="L84" s="259"/>
      <c r="M84" s="259"/>
      <c r="N84" s="259"/>
      <c r="O84" s="259"/>
      <c r="P84" s="259"/>
      <c r="Q84" s="259"/>
      <c r="R84" s="259"/>
      <c r="S84" s="259"/>
      <c r="T84" s="259"/>
      <c r="U84" s="259"/>
      <c r="V84" s="253">
        <v>2</v>
      </c>
      <c r="W84" s="394"/>
    </row>
    <row r="85" spans="1:23" ht="15">
      <c r="A85" s="96" t="str">
        <f>НАЧАЛО!$A$46</f>
        <v>Явор Хайтов                          Красимир Сланчев</v>
      </c>
      <c r="B85" s="202"/>
      <c r="C85" s="209"/>
      <c r="D85" s="202"/>
      <c r="E85" s="209"/>
      <c r="F85" s="251"/>
      <c r="G85" s="251"/>
      <c r="H85" s="251"/>
      <c r="I85" s="251"/>
      <c r="J85" s="251"/>
      <c r="K85" s="251"/>
      <c r="L85" s="251"/>
      <c r="M85" s="251"/>
      <c r="N85" s="251"/>
      <c r="O85" s="251"/>
      <c r="P85" s="251"/>
      <c r="Q85" s="251"/>
      <c r="R85" s="251"/>
      <c r="S85" s="251"/>
      <c r="T85" s="251"/>
      <c r="U85" s="251"/>
      <c r="V85" s="251">
        <v>2</v>
      </c>
      <c r="W85" s="394"/>
    </row>
    <row r="86" spans="1:23" ht="15">
      <c r="A86" s="98"/>
      <c r="B86" s="202"/>
      <c r="C86" s="209"/>
      <c r="D86" s="202"/>
      <c r="E86" s="209"/>
      <c r="F86" s="251"/>
      <c r="G86" s="251"/>
      <c r="H86" s="251"/>
      <c r="I86" s="251"/>
      <c r="J86" s="251"/>
      <c r="K86" s="251"/>
      <c r="L86" s="251"/>
      <c r="M86" s="251"/>
      <c r="N86" s="251"/>
      <c r="O86" s="251"/>
      <c r="P86" s="251"/>
      <c r="Q86" s="251"/>
      <c r="R86" s="251"/>
      <c r="S86" s="251"/>
      <c r="T86" s="251"/>
      <c r="U86" s="251"/>
      <c r="V86" s="251">
        <v>2</v>
      </c>
      <c r="W86" s="394"/>
    </row>
    <row r="87" spans="1:23" ht="15">
      <c r="A87" s="97" t="str">
        <f>НАЧАЛО!$F$44</f>
        <v>Съставител:</v>
      </c>
      <c r="B87" s="202"/>
      <c r="C87" s="209"/>
      <c r="D87" s="202"/>
      <c r="E87" s="209"/>
      <c r="F87" s="251"/>
      <c r="G87" s="251"/>
      <c r="H87" s="251"/>
      <c r="I87" s="251"/>
      <c r="J87" s="251"/>
      <c r="K87" s="251"/>
      <c r="L87" s="251"/>
      <c r="M87" s="251"/>
      <c r="N87" s="251"/>
      <c r="O87" s="251"/>
      <c r="P87" s="251"/>
      <c r="Q87" s="251"/>
      <c r="R87" s="251"/>
      <c r="S87" s="251"/>
      <c r="T87" s="251"/>
      <c r="U87" s="251"/>
      <c r="V87" s="251">
        <v>2</v>
      </c>
      <c r="W87" s="394"/>
    </row>
    <row r="88" spans="1:23" ht="15">
      <c r="A88" s="100" t="str">
        <f>НАЧАЛО!$F$46</f>
        <v>Боряна Машова</v>
      </c>
      <c r="B88" s="210"/>
      <c r="C88" s="211"/>
      <c r="D88" s="202"/>
      <c r="E88" s="211"/>
      <c r="F88" s="251"/>
      <c r="G88" s="251"/>
      <c r="H88" s="251"/>
      <c r="I88" s="251"/>
      <c r="J88" s="251"/>
      <c r="K88" s="251"/>
      <c r="L88" s="251"/>
      <c r="M88" s="251"/>
      <c r="N88" s="251"/>
      <c r="O88" s="251"/>
      <c r="P88" s="251"/>
      <c r="Q88" s="251"/>
      <c r="R88" s="251"/>
      <c r="S88" s="251"/>
      <c r="T88" s="251"/>
      <c r="U88" s="251"/>
      <c r="V88" s="251">
        <v>2</v>
      </c>
      <c r="W88" s="394"/>
    </row>
    <row r="89" spans="1:23" ht="15">
      <c r="A89" s="97"/>
      <c r="B89" s="303"/>
      <c r="C89" s="303"/>
      <c r="D89" s="303"/>
      <c r="E89" s="303"/>
      <c r="F89" s="251"/>
      <c r="G89" s="251"/>
      <c r="H89" s="251"/>
      <c r="I89" s="251"/>
      <c r="J89" s="251"/>
      <c r="K89" s="251"/>
      <c r="L89" s="251"/>
      <c r="M89" s="251"/>
      <c r="N89" s="251"/>
      <c r="O89" s="251"/>
      <c r="P89" s="251"/>
      <c r="Q89" s="251"/>
      <c r="R89" s="251"/>
      <c r="S89" s="251"/>
      <c r="T89" s="251"/>
      <c r="U89" s="251"/>
      <c r="V89" s="251">
        <v>2</v>
      </c>
      <c r="W89" s="394"/>
    </row>
    <row r="90" spans="1:23" ht="15">
      <c r="A90" s="100" t="str">
        <f>НАЧАЛО!$C$49</f>
        <v>Заверил:</v>
      </c>
      <c r="B90" s="212"/>
      <c r="C90" s="212"/>
      <c r="D90" s="212"/>
      <c r="E90" s="212"/>
      <c r="F90" s="251"/>
      <c r="G90" s="251"/>
      <c r="H90" s="251"/>
      <c r="I90" s="251"/>
      <c r="J90" s="251"/>
      <c r="K90" s="251"/>
      <c r="L90" s="251"/>
      <c r="M90" s="251"/>
      <c r="N90" s="251"/>
      <c r="O90" s="251"/>
      <c r="P90" s="251"/>
      <c r="Q90" s="251"/>
      <c r="R90" s="251"/>
      <c r="S90" s="251"/>
      <c r="T90" s="251"/>
      <c r="U90" s="251"/>
      <c r="V90" s="251">
        <v>2</v>
      </c>
      <c r="W90" s="394"/>
    </row>
    <row r="91" spans="1:23" ht="15">
      <c r="A91" s="96" t="str">
        <f>НАЧАЛО!$C$51</f>
        <v>СОП „Ейч Ел Би България” ООД</v>
      </c>
      <c r="B91" s="210"/>
      <c r="C91" s="211"/>
      <c r="D91" s="202"/>
      <c r="E91" s="211"/>
      <c r="F91" s="251"/>
      <c r="G91" s="251"/>
      <c r="H91" s="251"/>
      <c r="I91" s="251"/>
      <c r="J91" s="251"/>
      <c r="K91" s="251"/>
      <c r="L91" s="251"/>
      <c r="M91" s="251"/>
      <c r="N91" s="251"/>
      <c r="O91" s="251"/>
      <c r="P91" s="251"/>
      <c r="Q91" s="251"/>
      <c r="R91" s="251"/>
      <c r="S91" s="251"/>
      <c r="T91" s="251"/>
      <c r="U91" s="251"/>
      <c r="V91" s="251">
        <v>2</v>
      </c>
      <c r="W91" s="394"/>
    </row>
    <row r="92" spans="1:23" ht="15" customHeight="1">
      <c r="A92" s="102"/>
      <c r="B92" s="210"/>
      <c r="C92" s="211"/>
      <c r="D92" s="202"/>
      <c r="E92" s="211"/>
      <c r="F92" s="253"/>
      <c r="G92" s="253"/>
      <c r="H92" s="253"/>
      <c r="I92" s="253"/>
      <c r="J92" s="253"/>
      <c r="K92" s="253"/>
      <c r="L92" s="253"/>
      <c r="M92" s="253"/>
      <c r="N92" s="253"/>
      <c r="O92" s="253"/>
      <c r="P92" s="253"/>
      <c r="Q92" s="253"/>
      <c r="R92" s="253"/>
      <c r="S92" s="253"/>
      <c r="T92" s="253"/>
      <c r="U92" s="253"/>
      <c r="V92" s="253">
        <v>2</v>
      </c>
      <c r="W92" s="394"/>
    </row>
    <row r="93" spans="1:23" ht="15">
      <c r="A93" s="96" t="str">
        <f>НАЧАЛО!$C$57</f>
        <v>София, 29 януари 2010 г.</v>
      </c>
      <c r="B93" s="210"/>
      <c r="C93" s="211"/>
      <c r="D93" s="202"/>
      <c r="E93" s="211"/>
      <c r="F93" s="253"/>
      <c r="G93" s="253"/>
      <c r="H93" s="253"/>
      <c r="I93" s="253"/>
      <c r="J93" s="253"/>
      <c r="K93" s="253"/>
      <c r="L93" s="253"/>
      <c r="M93" s="253"/>
      <c r="N93" s="253"/>
      <c r="O93" s="253"/>
      <c r="P93" s="253"/>
      <c r="Q93" s="253"/>
      <c r="R93" s="253"/>
      <c r="S93" s="253"/>
      <c r="T93" s="253"/>
      <c r="U93" s="253"/>
      <c r="V93" s="253">
        <v>2</v>
      </c>
      <c r="W93" s="394"/>
    </row>
    <row r="94" ht="15" hidden="1">
      <c r="A94" s="34"/>
    </row>
    <row r="95" ht="15" hidden="1">
      <c r="A95" s="35"/>
    </row>
    <row r="96" ht="15" hidden="1">
      <c r="A96" s="34"/>
    </row>
    <row r="97" ht="15" hidden="1">
      <c r="A97" s="36"/>
    </row>
    <row r="98" ht="15" hidden="1">
      <c r="A98" s="36"/>
    </row>
    <row r="99" ht="15" hidden="1">
      <c r="A99" s="178"/>
    </row>
    <row r="100" ht="15"/>
    <row r="116" ht="15"/>
    <row r="117" ht="15"/>
    <row r="120" ht="15"/>
    <row r="122" ht="15"/>
  </sheetData>
  <sheetProtection password="DC9E" sheet="1" objects="1" formatRows="0" insertRows="0"/>
  <conditionalFormatting sqref="A1:E93">
    <cfRule type="expression" priority="47" dxfId="0" stopIfTrue="1">
      <formula>JJ41&lt;&gt;JK41</formula>
    </cfRule>
    <cfRule type="expression" priority="48" dxfId="0" stopIfTrue="1">
      <formula>JJ42&gt;JK42</formula>
    </cfRule>
  </conditionalFormatting>
  <conditionalFormatting sqref="A82">
    <cfRule type="expression" priority="42" dxfId="15" stopIfTrue="1">
      <formula>JJ61=JK61</formula>
    </cfRule>
  </conditionalFormatting>
  <conditionalFormatting sqref="A25">
    <cfRule type="expression" priority="38" dxfId="26" stopIfTrue="1">
      <formula>$C$11&lt;&gt;0</formula>
    </cfRule>
  </conditionalFormatting>
  <conditionalFormatting sqref="A11">
    <cfRule type="expression" priority="37" dxfId="25" stopIfTrue="1">
      <formula>OR(C11&lt;&gt;0,E11&lt;&gt;0)</formula>
    </cfRule>
  </conditionalFormatting>
  <conditionalFormatting sqref="A25">
    <cfRule type="expression" priority="36" dxfId="25" stopIfTrue="1">
      <formula>OR(C25&lt;&gt;0,E25&lt;&gt;0)</formula>
    </cfRule>
  </conditionalFormatting>
  <conditionalFormatting sqref="A26">
    <cfRule type="expression" priority="35" dxfId="26" stopIfTrue="1">
      <formula>$C$11&lt;&gt;0</formula>
    </cfRule>
  </conditionalFormatting>
  <conditionalFormatting sqref="A26">
    <cfRule type="expression" priority="34" dxfId="25" stopIfTrue="1">
      <formula>OR(C26&lt;&gt;0,E26&lt;&gt;0)</formula>
    </cfRule>
  </conditionalFormatting>
  <conditionalFormatting sqref="A12">
    <cfRule type="expression" priority="33" dxfId="25" stopIfTrue="1">
      <formula>OR(C12&lt;&gt;0,E12&lt;&gt;0)</formula>
    </cfRule>
  </conditionalFormatting>
  <conditionalFormatting sqref="A23">
    <cfRule type="expression" priority="32" dxfId="26" stopIfTrue="1">
      <formula>$C$11&lt;&gt;0</formula>
    </cfRule>
  </conditionalFormatting>
  <conditionalFormatting sqref="A23">
    <cfRule type="expression" priority="31" dxfId="25" stopIfTrue="1">
      <formula>OR(C23&lt;&gt;0,E23&lt;&gt;0)</formula>
    </cfRule>
  </conditionalFormatting>
  <conditionalFormatting sqref="A22">
    <cfRule type="expression" priority="30" dxfId="26" stopIfTrue="1">
      <formula>$C$11&lt;&gt;0</formula>
    </cfRule>
  </conditionalFormatting>
  <conditionalFormatting sqref="A22">
    <cfRule type="expression" priority="29" dxfId="25" stopIfTrue="1">
      <formula>OR(C22&lt;&gt;0,E22&lt;&gt;0)</formula>
    </cfRule>
  </conditionalFormatting>
  <conditionalFormatting sqref="A20">
    <cfRule type="expression" priority="28" dxfId="26" stopIfTrue="1">
      <formula>$C$11&lt;&gt;0</formula>
    </cfRule>
  </conditionalFormatting>
  <conditionalFormatting sqref="A20">
    <cfRule type="expression" priority="27" dxfId="25" stopIfTrue="1">
      <formula>OR(C20&lt;&gt;0,E20&lt;&gt;0)</formula>
    </cfRule>
  </conditionalFormatting>
  <conditionalFormatting sqref="A46">
    <cfRule type="expression" priority="26" dxfId="26" stopIfTrue="1">
      <formula>$C$11&lt;&gt;0</formula>
    </cfRule>
  </conditionalFormatting>
  <conditionalFormatting sqref="A46">
    <cfRule type="expression" priority="25" dxfId="25" stopIfTrue="1">
      <formula>OR(C46&lt;&gt;0,E46&lt;&gt;0)</formula>
    </cfRule>
  </conditionalFormatting>
  <conditionalFormatting sqref="A45">
    <cfRule type="expression" priority="24" dxfId="26" stopIfTrue="1">
      <formula>$C$11&lt;&gt;0</formula>
    </cfRule>
  </conditionalFormatting>
  <conditionalFormatting sqref="A45">
    <cfRule type="expression" priority="23" dxfId="25" stopIfTrue="1">
      <formula>OR(C45&lt;&gt;0,E45&lt;&gt;0)</formula>
    </cfRule>
  </conditionalFormatting>
  <conditionalFormatting sqref="A48">
    <cfRule type="expression" priority="22" dxfId="26" stopIfTrue="1">
      <formula>$C$11&lt;&gt;0</formula>
    </cfRule>
  </conditionalFormatting>
  <conditionalFormatting sqref="A48">
    <cfRule type="expression" priority="21" dxfId="25" stopIfTrue="1">
      <formula>OR(C48&lt;&gt;0,E48&lt;&gt;0)</formula>
    </cfRule>
  </conditionalFormatting>
  <conditionalFormatting sqref="A49">
    <cfRule type="expression" priority="20" dxfId="26" stopIfTrue="1">
      <formula>$C$11&lt;&gt;0</formula>
    </cfRule>
  </conditionalFormatting>
  <conditionalFormatting sqref="A49">
    <cfRule type="expression" priority="19" dxfId="25" stopIfTrue="1">
      <formula>OR(C49&lt;&gt;0,E49&lt;&gt;0)</formula>
    </cfRule>
  </conditionalFormatting>
  <conditionalFormatting sqref="A68">
    <cfRule type="expression" priority="18" dxfId="26" stopIfTrue="1">
      <formula>$C$11&lt;&gt;0</formula>
    </cfRule>
  </conditionalFormatting>
  <conditionalFormatting sqref="A68">
    <cfRule type="expression" priority="17" dxfId="25" stopIfTrue="1">
      <formula>OR(C68&lt;&gt;0,E68&lt;&gt;0)</formula>
    </cfRule>
  </conditionalFormatting>
  <conditionalFormatting sqref="A67">
    <cfRule type="expression" priority="16" dxfId="26" stopIfTrue="1">
      <formula>$C$11&lt;&gt;0</formula>
    </cfRule>
  </conditionalFormatting>
  <conditionalFormatting sqref="A67">
    <cfRule type="expression" priority="15" dxfId="25" stopIfTrue="1">
      <formula>OR(C67&lt;&gt;0,E67&lt;&gt;0)</formula>
    </cfRule>
  </conditionalFormatting>
  <conditionalFormatting sqref="A70">
    <cfRule type="expression" priority="14" dxfId="26" stopIfTrue="1">
      <formula>$C$11&lt;&gt;0</formula>
    </cfRule>
  </conditionalFormatting>
  <conditionalFormatting sqref="A70">
    <cfRule type="expression" priority="13" dxfId="25" stopIfTrue="1">
      <formula>OR(C70&lt;&gt;0,E70&lt;&gt;0)</formula>
    </cfRule>
  </conditionalFormatting>
  <conditionalFormatting sqref="A71">
    <cfRule type="expression" priority="12" dxfId="26" stopIfTrue="1">
      <formula>$C$11&lt;&gt;0</formula>
    </cfRule>
  </conditionalFormatting>
  <conditionalFormatting sqref="A71">
    <cfRule type="expression" priority="11" dxfId="25" stopIfTrue="1">
      <formula>OR(C71&lt;&gt;0,E71&lt;&gt;0)</formula>
    </cfRule>
  </conditionalFormatting>
  <conditionalFormatting sqref="A19">
    <cfRule type="expression" priority="10" dxfId="25" stopIfTrue="1">
      <formula>OR(C19&lt;&gt;0,E19&lt;&gt;0)</formula>
    </cfRule>
  </conditionalFormatting>
  <conditionalFormatting sqref="A58">
    <cfRule type="expression" priority="9" dxfId="26" stopIfTrue="1">
      <formula>$C$11&lt;&gt;0</formula>
    </cfRule>
  </conditionalFormatting>
  <conditionalFormatting sqref="A58">
    <cfRule type="expression" priority="8" dxfId="25" stopIfTrue="1">
      <formula>OR(C58&lt;&gt;0,E58&lt;&gt;0)</formula>
    </cfRule>
  </conditionalFormatting>
  <conditionalFormatting sqref="A80">
    <cfRule type="expression" priority="6" dxfId="0" stopIfTrue="1">
      <formula>JJ21&lt;&gt;JK21</formula>
    </cfRule>
    <cfRule type="expression" priority="7" dxfId="0" stopIfTrue="1">
      <formula>JJ22&gt;JK22</formula>
    </cfRule>
  </conditionalFormatting>
  <conditionalFormatting sqref="A80">
    <cfRule type="expression" priority="4" dxfId="0" stopIfTrue="1">
      <formula>JJ21&lt;&gt;JK21</formula>
    </cfRule>
    <cfRule type="expression" priority="5" dxfId="0" stopIfTrue="1">
      <formula>JJ22&gt;JK22</formula>
    </cfRule>
  </conditionalFormatting>
  <conditionalFormatting sqref="A80">
    <cfRule type="expression" priority="2" dxfId="0" stopIfTrue="1">
      <formula>JJ31&lt;&gt;JK31</formula>
    </cfRule>
    <cfRule type="expression" priority="3" dxfId="0" stopIfTrue="1">
      <formula>JJ32&gt;JK32</formula>
    </cfRule>
  </conditionalFormatting>
  <conditionalFormatting sqref="A80">
    <cfRule type="expression" priority="1" dxfId="92" stopIfTrue="1">
      <formula>O80&gt;0</formula>
    </cfRule>
  </conditionalFormatting>
  <dataValidations count="3">
    <dataValidation allowBlank="1" showInputMessage="1" showErrorMessage="1" promptTitle="Kalin:" prompt="Редът да се използва само при наличие на съществени суми!" sqref="C11:C12 C22:C23 E22:E23 E11:E12 C25:C26 E25:E26 C45:C46 E45:E46 C48:C49 E48:E49 C67:C68 E67:E68 C70:C71 E70:E71 C19 E19 C58 E58"/>
    <dataValidation allowBlank="1" showInputMessage="1" showErrorMessage="1" promptTitle="Kalin:" prompt="За дружества, за които това е основна дейност!" sqref="C20 E20"/>
    <dataValidation type="list" allowBlank="1" showInputMessage="1" showErrorMessage="1" sqref="W8:W26 W78 W74 W76 W52:W71 W29:W49">
      <formula1>$P$79:$P$80</formula1>
    </dataValidation>
  </dataValidations>
  <printOptions horizontalCentered="1"/>
  <pageMargins left="0.7086614173228347" right="0.4330708661417323" top="0.4724409448818898" bottom="0.35433070866141736" header="0.31496062992125984" footer="0.1968503937007874"/>
  <pageSetup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codeName="Sheet6"/>
  <dimension ref="A1:AC110"/>
  <sheetViews>
    <sheetView zoomScaleSheetLayoutView="100" zoomScalePageLayoutView="0" workbookViewId="0" topLeftCell="A1">
      <pane ySplit="2" topLeftCell="BM92" activePane="bottomLeft" state="frozen"/>
      <selection pane="topLeft" activeCell="A4" sqref="A4"/>
      <selection pane="bottomLeft" activeCell="A103" sqref="A103"/>
    </sheetView>
  </sheetViews>
  <sheetFormatPr defaultColWidth="9.140625" defaultRowHeight="12.75"/>
  <cols>
    <col min="1" max="1" width="40.7109375" style="245" customWidth="1"/>
    <col min="2" max="2" width="1.421875" style="245" customWidth="1"/>
    <col min="3" max="3" width="9.7109375" style="1" customWidth="1"/>
    <col min="4" max="4" width="1.421875" style="1" customWidth="1"/>
    <col min="5" max="5" width="9.7109375" style="1" customWidth="1"/>
    <col min="6" max="6" width="1.421875" style="1" hidden="1" customWidth="1"/>
    <col min="7" max="7" width="9.7109375" style="1" hidden="1" customWidth="1"/>
    <col min="8" max="8" width="1.421875" style="1" hidden="1" customWidth="1"/>
    <col min="9" max="9" width="9.7109375" style="1" hidden="1" customWidth="1"/>
    <col min="10" max="10" width="1.421875" style="1" hidden="1" customWidth="1"/>
    <col min="11" max="11" width="9.7109375" style="1" hidden="1" customWidth="1"/>
    <col min="12" max="12" width="1.421875" style="1" customWidth="1"/>
    <col min="13" max="13" width="10.421875" style="1" customWidth="1"/>
    <col min="14" max="14" width="1.421875" style="1" hidden="1" customWidth="1"/>
    <col min="15" max="15" width="9.7109375" style="1" hidden="1" customWidth="1"/>
    <col min="16" max="16" width="1.421875" style="1" hidden="1" customWidth="1"/>
    <col min="17" max="17" width="9.7109375" style="1" hidden="1" customWidth="1"/>
    <col min="18" max="18" width="1.421875" style="1" customWidth="1"/>
    <col min="19" max="19" width="9.7109375" style="1" customWidth="1"/>
    <col min="20" max="22" width="1.421875" style="1" hidden="1" customWidth="1"/>
    <col min="23" max="23" width="1.421875" style="1" customWidth="1"/>
    <col min="24" max="16384" width="9.140625" style="1" customWidth="1"/>
  </cols>
  <sheetData>
    <row r="1" spans="1:29" ht="18" customHeight="1">
      <c r="A1" s="293" t="str">
        <f>ОД!A1:I1</f>
        <v>ЖЕЛЕЗОПЪТНА ИНФРАСТРУКТУРА ХОЛДИНГОВО ДРУЖЕСТВО АД</v>
      </c>
      <c r="B1" s="293"/>
      <c r="C1" s="293"/>
      <c r="D1" s="293"/>
      <c r="E1" s="293"/>
      <c r="F1" s="293"/>
      <c r="G1" s="293"/>
      <c r="H1" s="293"/>
      <c r="I1" s="293"/>
      <c r="J1" s="293"/>
      <c r="K1" s="293"/>
      <c r="L1" s="293"/>
      <c r="M1" s="293"/>
      <c r="N1" s="293"/>
      <c r="O1" s="293"/>
      <c r="P1" s="293"/>
      <c r="Q1" s="293"/>
      <c r="R1" s="293"/>
      <c r="S1" s="293"/>
      <c r="T1" s="336"/>
      <c r="U1" s="336"/>
      <c r="V1" s="398">
        <v>2</v>
      </c>
      <c r="W1" s="398"/>
      <c r="X1" s="308"/>
      <c r="Y1" s="308"/>
      <c r="Z1" s="308"/>
      <c r="AA1" s="308"/>
      <c r="AB1" s="308"/>
      <c r="AC1" s="308"/>
    </row>
    <row r="2" spans="1:29" ht="18" customHeight="1">
      <c r="A2" s="328" t="str">
        <f>НАЧАЛО!AA21</f>
        <v>ОТЧЕТ ЗА ПРОМЕНИТЕ В СОБСТВЕНИЯ КАПИТАЛ към 31.12.2009 година</v>
      </c>
      <c r="B2" s="294"/>
      <c r="C2" s="295"/>
      <c r="D2" s="295"/>
      <c r="E2" s="295"/>
      <c r="F2" s="295"/>
      <c r="G2" s="295"/>
      <c r="H2" s="295"/>
      <c r="I2" s="295"/>
      <c r="J2" s="295"/>
      <c r="K2" s="295"/>
      <c r="L2" s="295"/>
      <c r="M2" s="295"/>
      <c r="N2" s="295"/>
      <c r="O2" s="295"/>
      <c r="P2" s="295"/>
      <c r="Q2" s="295"/>
      <c r="R2" s="295"/>
      <c r="S2" s="295"/>
      <c r="T2" s="413"/>
      <c r="U2" s="413"/>
      <c r="V2" s="398">
        <v>2</v>
      </c>
      <c r="W2" s="398"/>
      <c r="X2" s="308"/>
      <c r="Y2" s="308"/>
      <c r="Z2" s="308"/>
      <c r="AA2" s="308"/>
      <c r="AB2" s="308"/>
      <c r="AC2" s="308"/>
    </row>
    <row r="3" spans="1:23" ht="9" customHeight="1">
      <c r="A3" s="291"/>
      <c r="B3" s="291"/>
      <c r="C3" s="292"/>
      <c r="D3" s="292"/>
      <c r="E3" s="292"/>
      <c r="F3" s="292"/>
      <c r="G3" s="292"/>
      <c r="H3" s="292"/>
      <c r="I3" s="292"/>
      <c r="J3" s="292"/>
      <c r="K3" s="292"/>
      <c r="L3" s="292"/>
      <c r="M3" s="292"/>
      <c r="N3" s="292"/>
      <c r="O3" s="292"/>
      <c r="P3" s="292"/>
      <c r="Q3" s="292"/>
      <c r="R3" s="292"/>
      <c r="S3" s="292"/>
      <c r="T3" s="413"/>
      <c r="U3" s="413"/>
      <c r="V3" s="398">
        <v>2</v>
      </c>
      <c r="W3" s="398"/>
    </row>
    <row r="4" spans="1:23" ht="51">
      <c r="A4" s="217"/>
      <c r="B4" s="217"/>
      <c r="C4" s="218" t="s">
        <v>147</v>
      </c>
      <c r="D4" s="218"/>
      <c r="E4" s="218" t="s">
        <v>255</v>
      </c>
      <c r="F4" s="218"/>
      <c r="G4" s="218" t="s">
        <v>127</v>
      </c>
      <c r="H4" s="218"/>
      <c r="I4" s="218" t="s">
        <v>58</v>
      </c>
      <c r="J4" s="218"/>
      <c r="K4" s="218" t="s">
        <v>59</v>
      </c>
      <c r="L4" s="218"/>
      <c r="M4" s="218" t="s">
        <v>151</v>
      </c>
      <c r="N4" s="218"/>
      <c r="O4" s="218" t="s">
        <v>112</v>
      </c>
      <c r="P4" s="218"/>
      <c r="Q4" s="218" t="s">
        <v>121</v>
      </c>
      <c r="R4" s="218"/>
      <c r="S4" s="218" t="s">
        <v>148</v>
      </c>
      <c r="T4" s="218"/>
      <c r="U4" s="218"/>
      <c r="V4" s="398">
        <v>2</v>
      </c>
      <c r="W4" s="398"/>
    </row>
    <row r="5" spans="1:23" ht="15">
      <c r="A5" s="219"/>
      <c r="B5" s="219"/>
      <c r="C5" s="269" t="s">
        <v>141</v>
      </c>
      <c r="D5" s="220"/>
      <c r="E5" s="269" t="s">
        <v>141</v>
      </c>
      <c r="F5" s="220"/>
      <c r="G5" s="269" t="s">
        <v>141</v>
      </c>
      <c r="H5" s="220"/>
      <c r="I5" s="269" t="s">
        <v>141</v>
      </c>
      <c r="J5" s="2"/>
      <c r="K5" s="269" t="s">
        <v>141</v>
      </c>
      <c r="L5" s="220"/>
      <c r="M5" s="269" t="s">
        <v>141</v>
      </c>
      <c r="N5" s="220"/>
      <c r="O5" s="269" t="s">
        <v>141</v>
      </c>
      <c r="P5" s="220"/>
      <c r="Q5" s="269" t="s">
        <v>141</v>
      </c>
      <c r="R5" s="220"/>
      <c r="S5" s="269" t="s">
        <v>141</v>
      </c>
      <c r="T5" s="220"/>
      <c r="U5" s="220"/>
      <c r="V5" s="398">
        <v>2</v>
      </c>
      <c r="W5" s="398"/>
    </row>
    <row r="6" spans="1:23" s="226" customFormat="1" ht="15" hidden="1">
      <c r="A6" s="221"/>
      <c r="B6" s="221"/>
      <c r="C6" s="225"/>
      <c r="D6" s="222"/>
      <c r="E6" s="225"/>
      <c r="F6" s="223"/>
      <c r="G6" s="225"/>
      <c r="H6" s="223"/>
      <c r="I6" s="225"/>
      <c r="J6" s="224"/>
      <c r="K6" s="225"/>
      <c r="L6" s="223"/>
      <c r="M6" s="225"/>
      <c r="N6" s="223"/>
      <c r="O6" s="225"/>
      <c r="P6" s="223"/>
      <c r="Q6" s="225"/>
      <c r="R6" s="223"/>
      <c r="S6" s="225"/>
      <c r="T6" s="224"/>
      <c r="U6" s="224"/>
      <c r="V6" s="398">
        <f>IF(V7=0,0,V7)</f>
        <v>0</v>
      </c>
      <c r="W6" s="398"/>
    </row>
    <row r="7" spans="1:23" s="230" customFormat="1" ht="15.75" hidden="1" thickBot="1">
      <c r="A7" s="227" t="str">
        <f>CONCATENATE("Остатък към ",31,".",12,".",НАЧАЛО!AC1-2," г.")</f>
        <v>Остатък към 31.12.2007 г.</v>
      </c>
      <c r="B7" s="221"/>
      <c r="C7" s="229">
        <v>55834</v>
      </c>
      <c r="D7" s="339"/>
      <c r="E7" s="229"/>
      <c r="F7" s="339"/>
      <c r="G7" s="229"/>
      <c r="H7" s="339"/>
      <c r="I7" s="229"/>
      <c r="J7" s="339"/>
      <c r="K7" s="229"/>
      <c r="L7" s="339"/>
      <c r="M7" s="229">
        <v>-2656</v>
      </c>
      <c r="N7" s="339"/>
      <c r="O7" s="229">
        <f>C7+E7+G7+I7+K7+M7</f>
        <v>53178</v>
      </c>
      <c r="P7" s="339"/>
      <c r="Q7" s="229"/>
      <c r="R7" s="339"/>
      <c r="S7" s="268">
        <f>O7+Q7</f>
        <v>53178</v>
      </c>
      <c r="T7" s="267"/>
      <c r="U7" s="267"/>
      <c r="V7" s="398">
        <f>IF(V9=0,0,IF(AND(S7=0,MAX(C7:Q7)),0,1))</f>
        <v>0</v>
      </c>
      <c r="W7" s="399"/>
    </row>
    <row r="8" spans="1:23" s="230" customFormat="1" ht="15" hidden="1">
      <c r="A8" s="231"/>
      <c r="B8" s="221"/>
      <c r="C8" s="225"/>
      <c r="D8" s="228"/>
      <c r="E8" s="225"/>
      <c r="F8" s="228"/>
      <c r="G8" s="225"/>
      <c r="H8" s="228"/>
      <c r="I8" s="225"/>
      <c r="J8" s="228"/>
      <c r="K8" s="225"/>
      <c r="L8" s="228"/>
      <c r="M8" s="225"/>
      <c r="N8" s="228"/>
      <c r="O8" s="225"/>
      <c r="P8" s="228"/>
      <c r="Q8" s="225"/>
      <c r="R8" s="228"/>
      <c r="S8" s="287"/>
      <c r="T8" s="267"/>
      <c r="U8" s="267"/>
      <c r="V8" s="398">
        <f>IF(V9=0,0,V9)</f>
        <v>0</v>
      </c>
      <c r="W8" s="400"/>
    </row>
    <row r="9" spans="1:23" s="230" customFormat="1" ht="25.5" hidden="1">
      <c r="A9" s="232" t="s">
        <v>161</v>
      </c>
      <c r="B9" s="233"/>
      <c r="C9" s="225"/>
      <c r="D9" s="339"/>
      <c r="E9" s="225"/>
      <c r="F9" s="339"/>
      <c r="G9" s="225"/>
      <c r="H9" s="339"/>
      <c r="I9" s="225"/>
      <c r="J9" s="339"/>
      <c r="K9" s="225"/>
      <c r="L9" s="339"/>
      <c r="M9" s="225"/>
      <c r="N9" s="339"/>
      <c r="O9" s="225">
        <f>C9+E9+G9+I9+K9+M9</f>
        <v>0</v>
      </c>
      <c r="P9" s="339"/>
      <c r="Q9" s="225"/>
      <c r="R9" s="339"/>
      <c r="S9" s="287">
        <f>O9+Q9</f>
        <v>0</v>
      </c>
      <c r="T9" s="267"/>
      <c r="U9" s="267"/>
      <c r="V9" s="398">
        <f>IF(AND(S9=0,MAX(C9:Q9)=0),0,1)</f>
        <v>0</v>
      </c>
      <c r="W9" s="399"/>
    </row>
    <row r="10" spans="1:23" s="230" customFormat="1" ht="15">
      <c r="A10" s="233"/>
      <c r="B10" s="233"/>
      <c r="C10" s="225"/>
      <c r="D10" s="228"/>
      <c r="E10" s="225"/>
      <c r="F10" s="228"/>
      <c r="G10" s="225"/>
      <c r="H10" s="228"/>
      <c r="I10" s="225"/>
      <c r="J10" s="228"/>
      <c r="K10" s="225"/>
      <c r="L10" s="228"/>
      <c r="M10" s="225"/>
      <c r="N10" s="228"/>
      <c r="O10" s="225"/>
      <c r="P10" s="228"/>
      <c r="Q10" s="225"/>
      <c r="R10" s="228"/>
      <c r="S10" s="287"/>
      <c r="T10" s="267"/>
      <c r="U10" s="267"/>
      <c r="V10" s="398">
        <f>IF(V11=0,0,V11)</f>
        <v>1</v>
      </c>
      <c r="W10" s="400"/>
    </row>
    <row r="11" spans="1:23" s="230" customFormat="1" ht="15.75" thickBot="1">
      <c r="A11" s="227" t="str">
        <f>CONCATENATE("Преизчислен остатък към ",31,".",12,".",НАЧАЛО!AC1-2," г.")</f>
        <v>Преизчислен остатък към 31.12.2007 г.</v>
      </c>
      <c r="B11" s="221"/>
      <c r="C11" s="268">
        <f>C7+C9</f>
        <v>55834</v>
      </c>
      <c r="D11" s="339"/>
      <c r="E11" s="268">
        <f>E7+E9</f>
        <v>0</v>
      </c>
      <c r="F11" s="339"/>
      <c r="G11" s="268">
        <f>G7+G9</f>
        <v>0</v>
      </c>
      <c r="H11" s="339"/>
      <c r="I11" s="268">
        <f>I7+I9</f>
        <v>0</v>
      </c>
      <c r="J11" s="339"/>
      <c r="K11" s="268">
        <f>K7+K9</f>
        <v>0</v>
      </c>
      <c r="L11" s="339"/>
      <c r="M11" s="268">
        <f>M7+M9</f>
        <v>-2656</v>
      </c>
      <c r="N11" s="339"/>
      <c r="O11" s="268">
        <f>O7+O9</f>
        <v>53178</v>
      </c>
      <c r="P11" s="339"/>
      <c r="Q11" s="268">
        <f>Q7+Q9</f>
        <v>0</v>
      </c>
      <c r="R11" s="339"/>
      <c r="S11" s="268">
        <f>S7+S9</f>
        <v>53178</v>
      </c>
      <c r="T11" s="267"/>
      <c r="U11" s="267"/>
      <c r="V11" s="398">
        <f>IF(AND(S11=0,MAX(C11:Q11)=0),0,1)</f>
        <v>1</v>
      </c>
      <c r="W11" s="399"/>
    </row>
    <row r="12" spans="1:23" s="230" customFormat="1" ht="15">
      <c r="A12" s="7">
        <f>IF(AND(C12="",E12="",I12="",O12="",K12="",M12="",Q12="",S12=""),"","Разлика в перата между СК и БАЛАНСА!")</f>
      </c>
      <c r="B12" s="3"/>
      <c r="C12" s="8">
        <f>IF(MAX(баланс!L9:L43,баланс!L55:L110)=0,"",IF(СК!C$11=баланс!L$55,"",СК!C$11-баланс!L$55))</f>
      </c>
      <c r="D12" s="8"/>
      <c r="E12" s="8">
        <f>IF(MAX(баланс!L9:L43,баланс!L55:L110)=0,"",IF(СК!E$11=баланс!$L$60,"",СК!E$11-баланс!$L$60))</f>
      </c>
      <c r="F12" s="8"/>
      <c r="G12" s="9">
        <f>IF(MAX(баланс!J9:J43,баланс!J55:J110)=0,"",IF(СК!G11=баланс!J$64,"",СК!G11-баланс!J$64))</f>
      </c>
      <c r="H12" s="8"/>
      <c r="I12" s="9">
        <f>IF(MAX(баланс!L9:L43,баланс!L55:L110)=0,"",IF(СК!I11=баланс!L$64,"",СК!I11-баланс!L$64))</f>
      </c>
      <c r="J12" s="8"/>
      <c r="K12" s="9">
        <f>IF(MAX(баланс!L9:L43,баланс!L55:L110)=0,"",IF(СК!K11=баланс!L$66,"",СК!K11-баланс!L$66))</f>
      </c>
      <c r="L12" s="8"/>
      <c r="M12" s="8">
        <f>IF(MAX(баланс!L9:L43,баланс!L55:L110)=0,"",IF(СК!M$11=баланс!L$68,"",СК!M11-баланс!L$68))</f>
      </c>
      <c r="N12" s="8"/>
      <c r="O12" s="8">
        <f>IF(MAX(баланс!L9:L43,баланс!L55:L110)=0,"",IF(СК!O$11=баланс!L$72,"",СК!O11-баланс!L$72))</f>
      </c>
      <c r="P12" s="8"/>
      <c r="Q12" s="8">
        <f>IF(MAX(баланс!L9:L43,баланс!L55:L110)=0,"",IF(СК!Q$11=баланс!L$74,"",СК!Q11-баланс!L$74))</f>
      </c>
      <c r="R12" s="8"/>
      <c r="S12" s="8">
        <f>IF(MAX(баланс!L9:L43,баланс!L55:L110)=0,"",IF(СК!S$11=баланс!L$76,"",СК!S11-баланс!L$76))</f>
      </c>
      <c r="T12" s="266"/>
      <c r="U12" s="266"/>
      <c r="V12" s="398">
        <v>2</v>
      </c>
      <c r="W12" s="402"/>
    </row>
    <row r="13" spans="1:27" s="230" customFormat="1" ht="15">
      <c r="A13" s="234" t="str">
        <f>CONCATENATE("Промени в собствения капитал за ",YEAR(НАЧАЛО!AA2)-1," г.")</f>
        <v>Промени в собствения капитал за 2008 г.</v>
      </c>
      <c r="B13" s="221"/>
      <c r="C13" s="285">
        <f>C29+C31+C33+C35+C37+C39+C41+C43+C45+C47+C49</f>
        <v>2529</v>
      </c>
      <c r="D13" s="339"/>
      <c r="E13" s="285">
        <f>E29+E31+E33+E35+E37+E39+E41+E43+E45+E47+E49</f>
        <v>10072</v>
      </c>
      <c r="F13" s="339"/>
      <c r="G13" s="285">
        <f>G29+G31+G33+G35+G37+G39+G41+G43+G45+G47+G49</f>
        <v>0</v>
      </c>
      <c r="H13" s="339"/>
      <c r="I13" s="285">
        <f>I29+I31+I33+I35+I37+I39+I41+I43+I45+I47+I49</f>
        <v>0</v>
      </c>
      <c r="J13" s="339"/>
      <c r="K13" s="285">
        <f>K29+K31+K33+K35+K37+K39+K41+K43+K45+K47+K49</f>
        <v>0</v>
      </c>
      <c r="L13" s="339"/>
      <c r="M13" s="285">
        <f>M29+M31+M33+M35+M37+M39+M41+M43+M45+M47+M49</f>
        <v>-841</v>
      </c>
      <c r="N13" s="339"/>
      <c r="O13" s="285">
        <f>O29+O31+O33+O35+O37+O39+O41+O43+O45+O47+O49</f>
        <v>11760</v>
      </c>
      <c r="P13" s="339"/>
      <c r="Q13" s="285">
        <f>Q29+Q31+Q33+Q35+Q37+Q39+Q41+Q43+Q45+Q47+Q49</f>
        <v>0</v>
      </c>
      <c r="R13" s="339"/>
      <c r="S13" s="285">
        <f>S29+S31+S33+S35+S37+S39+S41+S43+S45+S47+S49</f>
        <v>11760</v>
      </c>
      <c r="T13" s="266"/>
      <c r="U13" s="266"/>
      <c r="V13" s="398">
        <f>IF(AND(S13=0,MAX(C13:Q13)=0),0,1)</f>
        <v>1</v>
      </c>
      <c r="W13" s="399"/>
      <c r="X13" s="238"/>
      <c r="Y13" s="238"/>
      <c r="Z13" s="238"/>
      <c r="AA13" s="238"/>
    </row>
    <row r="14" spans="1:23" s="230" customFormat="1" ht="15">
      <c r="A14" s="231"/>
      <c r="B14" s="221"/>
      <c r="C14" s="224"/>
      <c r="D14" s="228"/>
      <c r="E14" s="224"/>
      <c r="F14" s="228"/>
      <c r="G14" s="224"/>
      <c r="H14" s="228"/>
      <c r="I14" s="224"/>
      <c r="J14" s="228"/>
      <c r="K14" s="224"/>
      <c r="L14" s="228"/>
      <c r="M14" s="224"/>
      <c r="N14" s="228"/>
      <c r="O14" s="224"/>
      <c r="P14" s="228"/>
      <c r="Q14" s="224"/>
      <c r="R14" s="228"/>
      <c r="S14" s="267"/>
      <c r="T14" s="267"/>
      <c r="U14" s="267"/>
      <c r="V14" s="398">
        <f>IF(V29=0,0,V29)</f>
        <v>1</v>
      </c>
      <c r="W14" s="400"/>
    </row>
    <row r="15" spans="1:23" s="230" customFormat="1" ht="15" hidden="1">
      <c r="A15" s="243" t="s">
        <v>57</v>
      </c>
      <c r="B15" s="235"/>
      <c r="C15" s="333">
        <f>C16+C17+C22+C18+C19+C23+C20+C24+C21+C25</f>
        <v>0</v>
      </c>
      <c r="D15" s="339"/>
      <c r="E15" s="333">
        <f>E16+E17+E22+E18+E19+E23+E20+E24+E21+E25</f>
        <v>0</v>
      </c>
      <c r="F15" s="339"/>
      <c r="G15" s="333">
        <f>G16+G17+G22+G18+G19+G23+G20+G24+G21+G25</f>
        <v>0</v>
      </c>
      <c r="H15" s="339"/>
      <c r="I15" s="333">
        <f>I16+I17+I22+I18+I19+I23+I20+I24+I21+I25</f>
        <v>0</v>
      </c>
      <c r="J15" s="339"/>
      <c r="K15" s="333">
        <f>K16+K17+K22+K18+K19+K23+K20+K24+K21+K25</f>
        <v>0</v>
      </c>
      <c r="L15" s="339"/>
      <c r="M15" s="333">
        <f>M16+M17+M22+M18+M19+M23+M20+M24+M21+M25</f>
        <v>0</v>
      </c>
      <c r="N15" s="339"/>
      <c r="O15" s="333">
        <f>O16+O17+O22+O18+O19+O23+O20+O24+O21+O25</f>
        <v>0</v>
      </c>
      <c r="P15" s="339"/>
      <c r="Q15" s="333">
        <f>Q16+Q17+Q22+Q18+Q19+Q23+Q20+Q24+Q21+Q25</f>
        <v>0</v>
      </c>
      <c r="R15" s="339"/>
      <c r="S15" s="333">
        <f>S16+S17+S22+S18+S19+S23+S20+S24+S21+S25</f>
        <v>0</v>
      </c>
      <c r="T15" s="283"/>
      <c r="U15" s="283"/>
      <c r="V15" s="398">
        <f aca="true" t="shared" si="0" ref="V15:V25">IF(AND(S15=0,MAX(C15:Q15)=0),0,1)</f>
        <v>0</v>
      </c>
      <c r="W15" s="399"/>
    </row>
    <row r="16" spans="1:27" s="230" customFormat="1" ht="15" hidden="1">
      <c r="A16" s="237" t="s">
        <v>113</v>
      </c>
      <c r="B16" s="237"/>
      <c r="C16" s="236"/>
      <c r="D16" s="236"/>
      <c r="E16" s="236"/>
      <c r="F16" s="236"/>
      <c r="G16" s="236"/>
      <c r="H16" s="236"/>
      <c r="I16" s="236"/>
      <c r="J16" s="236"/>
      <c r="K16" s="236"/>
      <c r="L16" s="236"/>
      <c r="M16" s="236"/>
      <c r="N16" s="236"/>
      <c r="O16" s="224">
        <f aca="true" t="shared" si="1" ref="O16:O25">C16+E16+G16+I16+K16+M16</f>
        <v>0</v>
      </c>
      <c r="P16" s="339"/>
      <c r="Q16" s="236"/>
      <c r="R16" s="339"/>
      <c r="S16" s="267">
        <f aca="true" t="shared" si="2" ref="S16:S21">O16+Q16</f>
        <v>0</v>
      </c>
      <c r="T16" s="267"/>
      <c r="U16" s="267"/>
      <c r="V16" s="398">
        <f t="shared" si="0"/>
        <v>0</v>
      </c>
      <c r="W16" s="399"/>
      <c r="X16" s="238"/>
      <c r="Y16" s="238"/>
      <c r="Z16" s="238"/>
      <c r="AA16" s="238"/>
    </row>
    <row r="17" spans="1:27" s="226" customFormat="1" ht="25.5" hidden="1">
      <c r="A17" s="237" t="s">
        <v>60</v>
      </c>
      <c r="B17" s="237"/>
      <c r="C17" s="236"/>
      <c r="D17" s="236"/>
      <c r="E17" s="236"/>
      <c r="F17" s="236"/>
      <c r="G17" s="236"/>
      <c r="H17" s="236"/>
      <c r="I17" s="236"/>
      <c r="J17" s="236"/>
      <c r="K17" s="236"/>
      <c r="L17" s="236"/>
      <c r="M17" s="236"/>
      <c r="N17" s="236"/>
      <c r="O17" s="224">
        <f t="shared" si="1"/>
        <v>0</v>
      </c>
      <c r="P17" s="339"/>
      <c r="Q17" s="236"/>
      <c r="R17" s="339"/>
      <c r="S17" s="267">
        <f t="shared" si="2"/>
        <v>0</v>
      </c>
      <c r="T17" s="267"/>
      <c r="U17" s="267"/>
      <c r="V17" s="398">
        <f t="shared" si="0"/>
        <v>0</v>
      </c>
      <c r="W17" s="399"/>
      <c r="X17" s="239"/>
      <c r="Y17" s="239"/>
      <c r="Z17" s="239"/>
      <c r="AA17" s="239"/>
    </row>
    <row r="18" spans="1:27" s="226" customFormat="1" ht="15" hidden="1">
      <c r="A18" s="237" t="s">
        <v>62</v>
      </c>
      <c r="B18" s="237"/>
      <c r="C18" s="236"/>
      <c r="D18" s="236"/>
      <c r="E18" s="236"/>
      <c r="F18" s="236"/>
      <c r="G18" s="236"/>
      <c r="H18" s="236"/>
      <c r="I18" s="236"/>
      <c r="J18" s="236"/>
      <c r="K18" s="236"/>
      <c r="L18" s="236"/>
      <c r="M18" s="236"/>
      <c r="N18" s="236"/>
      <c r="O18" s="224">
        <f t="shared" si="1"/>
        <v>0</v>
      </c>
      <c r="P18" s="339"/>
      <c r="Q18" s="236"/>
      <c r="R18" s="339"/>
      <c r="S18" s="267">
        <f t="shared" si="2"/>
        <v>0</v>
      </c>
      <c r="T18" s="267"/>
      <c r="U18" s="267"/>
      <c r="V18" s="398">
        <f t="shared" si="0"/>
        <v>0</v>
      </c>
      <c r="W18" s="399"/>
      <c r="X18" s="239"/>
      <c r="Y18" s="239"/>
      <c r="Z18" s="239"/>
      <c r="AA18" s="239"/>
    </row>
    <row r="19" spans="1:27" s="226" customFormat="1" ht="15" hidden="1">
      <c r="A19" s="237" t="s">
        <v>63</v>
      </c>
      <c r="B19" s="237"/>
      <c r="C19" s="236"/>
      <c r="D19" s="236"/>
      <c r="E19" s="236"/>
      <c r="F19" s="236"/>
      <c r="G19" s="236"/>
      <c r="H19" s="236"/>
      <c r="I19" s="236"/>
      <c r="J19" s="236"/>
      <c r="K19" s="236"/>
      <c r="L19" s="236"/>
      <c r="M19" s="236"/>
      <c r="N19" s="236"/>
      <c r="O19" s="224">
        <f t="shared" si="1"/>
        <v>0</v>
      </c>
      <c r="P19" s="339"/>
      <c r="Q19" s="236"/>
      <c r="R19" s="339"/>
      <c r="S19" s="267">
        <f t="shared" si="2"/>
        <v>0</v>
      </c>
      <c r="T19" s="267"/>
      <c r="U19" s="267"/>
      <c r="V19" s="398">
        <f t="shared" si="0"/>
        <v>0</v>
      </c>
      <c r="W19" s="399"/>
      <c r="X19" s="239"/>
      <c r="Y19" s="239"/>
      <c r="Z19" s="239"/>
      <c r="AA19" s="239"/>
    </row>
    <row r="20" spans="1:27" s="226" customFormat="1" ht="15" hidden="1">
      <c r="A20" s="237" t="s">
        <v>64</v>
      </c>
      <c r="B20" s="237"/>
      <c r="C20" s="236"/>
      <c r="D20" s="236"/>
      <c r="E20" s="236"/>
      <c r="F20" s="236"/>
      <c r="G20" s="236"/>
      <c r="H20" s="236"/>
      <c r="I20" s="236"/>
      <c r="J20" s="236"/>
      <c r="K20" s="236"/>
      <c r="L20" s="236"/>
      <c r="M20" s="236"/>
      <c r="N20" s="236"/>
      <c r="O20" s="224">
        <f t="shared" si="1"/>
        <v>0</v>
      </c>
      <c r="P20" s="339"/>
      <c r="Q20" s="236"/>
      <c r="R20" s="339"/>
      <c r="S20" s="267">
        <f t="shared" si="2"/>
        <v>0</v>
      </c>
      <c r="T20" s="267"/>
      <c r="U20" s="267"/>
      <c r="V20" s="398">
        <f t="shared" si="0"/>
        <v>0</v>
      </c>
      <c r="W20" s="399"/>
      <c r="X20" s="239"/>
      <c r="Y20" s="239"/>
      <c r="Z20" s="239"/>
      <c r="AA20" s="239"/>
    </row>
    <row r="21" spans="1:27" s="226" customFormat="1" ht="25.5" hidden="1">
      <c r="A21" s="237" t="s">
        <v>56</v>
      </c>
      <c r="B21" s="237"/>
      <c r="C21" s="236"/>
      <c r="D21" s="236"/>
      <c r="E21" s="236"/>
      <c r="F21" s="236"/>
      <c r="G21" s="236"/>
      <c r="H21" s="236"/>
      <c r="I21" s="236"/>
      <c r="J21" s="236"/>
      <c r="K21" s="236"/>
      <c r="L21" s="236"/>
      <c r="M21" s="236"/>
      <c r="N21" s="236"/>
      <c r="O21" s="224">
        <f t="shared" si="1"/>
        <v>0</v>
      </c>
      <c r="P21" s="339"/>
      <c r="Q21" s="236"/>
      <c r="R21" s="339"/>
      <c r="S21" s="267">
        <f t="shared" si="2"/>
        <v>0</v>
      </c>
      <c r="T21" s="267"/>
      <c r="U21" s="267"/>
      <c r="V21" s="398">
        <f t="shared" si="0"/>
        <v>0</v>
      </c>
      <c r="W21" s="399"/>
      <c r="X21" s="239"/>
      <c r="Y21" s="239"/>
      <c r="Z21" s="239"/>
      <c r="AA21" s="239"/>
    </row>
    <row r="22" spans="1:27" s="226" customFormat="1" ht="25.5" hidden="1">
      <c r="A22" s="237" t="s">
        <v>123</v>
      </c>
      <c r="B22" s="237"/>
      <c r="C22" s="236"/>
      <c r="D22" s="236"/>
      <c r="E22" s="236"/>
      <c r="F22" s="236"/>
      <c r="G22" s="236"/>
      <c r="H22" s="236"/>
      <c r="I22" s="236"/>
      <c r="J22" s="236"/>
      <c r="K22" s="236"/>
      <c r="L22" s="236"/>
      <c r="M22" s="236"/>
      <c r="N22" s="236"/>
      <c r="O22" s="224">
        <f t="shared" si="1"/>
        <v>0</v>
      </c>
      <c r="P22" s="339"/>
      <c r="Q22" s="236"/>
      <c r="R22" s="339"/>
      <c r="S22" s="267">
        <f>O22+Q22</f>
        <v>0</v>
      </c>
      <c r="T22" s="267"/>
      <c r="U22" s="267"/>
      <c r="V22" s="398">
        <f t="shared" si="0"/>
        <v>0</v>
      </c>
      <c r="W22" s="399"/>
      <c r="X22" s="239"/>
      <c r="Y22" s="239"/>
      <c r="Z22" s="239"/>
      <c r="AA22" s="239"/>
    </row>
    <row r="23" spans="1:27" s="226" customFormat="1" ht="25.5" hidden="1">
      <c r="A23" s="237" t="s">
        <v>125</v>
      </c>
      <c r="B23" s="237"/>
      <c r="C23" s="236"/>
      <c r="D23" s="236"/>
      <c r="E23" s="236"/>
      <c r="F23" s="236"/>
      <c r="G23" s="236"/>
      <c r="H23" s="236"/>
      <c r="I23" s="236"/>
      <c r="J23" s="236"/>
      <c r="K23" s="236"/>
      <c r="L23" s="236"/>
      <c r="M23" s="236"/>
      <c r="N23" s="236"/>
      <c r="O23" s="224">
        <f t="shared" si="1"/>
        <v>0</v>
      </c>
      <c r="P23" s="339"/>
      <c r="Q23" s="236"/>
      <c r="R23" s="339"/>
      <c r="S23" s="267">
        <f>O23+Q23</f>
        <v>0</v>
      </c>
      <c r="T23" s="267"/>
      <c r="U23" s="267"/>
      <c r="V23" s="398">
        <f t="shared" si="0"/>
        <v>0</v>
      </c>
      <c r="W23" s="399"/>
      <c r="X23" s="239"/>
      <c r="Y23" s="239"/>
      <c r="Z23" s="239"/>
      <c r="AA23" s="239"/>
    </row>
    <row r="24" spans="1:27" s="226" customFormat="1" ht="25.5" hidden="1">
      <c r="A24" s="237" t="s">
        <v>124</v>
      </c>
      <c r="B24" s="237"/>
      <c r="C24" s="236"/>
      <c r="D24" s="236"/>
      <c r="E24" s="236"/>
      <c r="F24" s="236"/>
      <c r="G24" s="236"/>
      <c r="H24" s="236"/>
      <c r="I24" s="236"/>
      <c r="J24" s="236"/>
      <c r="K24" s="236"/>
      <c r="L24" s="236"/>
      <c r="M24" s="236"/>
      <c r="N24" s="236"/>
      <c r="O24" s="224">
        <f t="shared" si="1"/>
        <v>0</v>
      </c>
      <c r="P24" s="339"/>
      <c r="Q24" s="236"/>
      <c r="R24" s="339"/>
      <c r="S24" s="267">
        <f>O24+Q24</f>
        <v>0</v>
      </c>
      <c r="T24" s="267"/>
      <c r="U24" s="267"/>
      <c r="V24" s="398">
        <f t="shared" si="0"/>
        <v>0</v>
      </c>
      <c r="W24" s="399"/>
      <c r="X24" s="239"/>
      <c r="Y24" s="239"/>
      <c r="Z24" s="239"/>
      <c r="AA24" s="239"/>
    </row>
    <row r="25" spans="1:27" s="226" customFormat="1" ht="15" hidden="1">
      <c r="A25" s="237" t="s">
        <v>61</v>
      </c>
      <c r="B25" s="237"/>
      <c r="C25" s="236"/>
      <c r="D25" s="236"/>
      <c r="E25" s="236"/>
      <c r="F25" s="236"/>
      <c r="G25" s="236"/>
      <c r="H25" s="236"/>
      <c r="I25" s="236"/>
      <c r="J25" s="236"/>
      <c r="K25" s="236"/>
      <c r="L25" s="236"/>
      <c r="M25" s="236"/>
      <c r="N25" s="236"/>
      <c r="O25" s="224">
        <f t="shared" si="1"/>
        <v>0</v>
      </c>
      <c r="P25" s="339"/>
      <c r="Q25" s="236"/>
      <c r="R25" s="339"/>
      <c r="S25" s="267">
        <f>O25+Q25</f>
        <v>0</v>
      </c>
      <c r="T25" s="267"/>
      <c r="U25" s="267"/>
      <c r="V25" s="398">
        <f t="shared" si="0"/>
        <v>0</v>
      </c>
      <c r="W25" s="399"/>
      <c r="X25" s="239"/>
      <c r="Y25" s="239"/>
      <c r="Z25" s="239"/>
      <c r="AA25" s="239"/>
    </row>
    <row r="26" spans="1:27" s="226" customFormat="1" ht="15">
      <c r="A26" s="237"/>
      <c r="B26" s="237"/>
      <c r="C26" s="283"/>
      <c r="D26" s="283"/>
      <c r="E26" s="283"/>
      <c r="F26" s="283"/>
      <c r="G26" s="283"/>
      <c r="H26" s="283"/>
      <c r="I26" s="283"/>
      <c r="J26" s="283"/>
      <c r="K26" s="283"/>
      <c r="L26" s="283"/>
      <c r="M26" s="283"/>
      <c r="N26" s="283"/>
      <c r="O26" s="283"/>
      <c r="P26" s="283"/>
      <c r="Q26" s="283"/>
      <c r="R26" s="283"/>
      <c r="S26" s="288"/>
      <c r="T26" s="288"/>
      <c r="U26" s="288"/>
      <c r="V26" s="398">
        <f>IF(V27=0,0,V27)</f>
        <v>1</v>
      </c>
      <c r="W26" s="401"/>
      <c r="X26" s="239"/>
      <c r="Y26" s="239"/>
      <c r="Z26" s="239"/>
      <c r="AA26" s="239"/>
    </row>
    <row r="27" spans="1:27" s="226" customFormat="1" ht="15">
      <c r="A27" s="243" t="s">
        <v>199</v>
      </c>
      <c r="B27" s="235"/>
      <c r="C27" s="333"/>
      <c r="D27" s="339"/>
      <c r="E27" s="333"/>
      <c r="F27" s="339"/>
      <c r="G27" s="333"/>
      <c r="H27" s="339"/>
      <c r="I27" s="333"/>
      <c r="J27" s="339"/>
      <c r="K27" s="333"/>
      <c r="L27" s="339"/>
      <c r="M27" s="333">
        <v>-841</v>
      </c>
      <c r="N27" s="339"/>
      <c r="O27" s="333">
        <f>C27+E27+G27+I27+K27+M27</f>
        <v>-841</v>
      </c>
      <c r="P27" s="339"/>
      <c r="Q27" s="333"/>
      <c r="R27" s="339"/>
      <c r="S27" s="334">
        <f>O27+Q27</f>
        <v>-841</v>
      </c>
      <c r="T27" s="288"/>
      <c r="U27" s="288"/>
      <c r="V27" s="398">
        <f>IF(AND(S27=0,MAX(C27:Q27)=0),0,1)</f>
        <v>1</v>
      </c>
      <c r="W27" s="399"/>
      <c r="X27" s="239"/>
      <c r="Y27" s="239"/>
      <c r="Z27" s="239"/>
      <c r="AA27" s="239"/>
    </row>
    <row r="28" spans="1:27" s="226" customFormat="1" ht="15">
      <c r="A28" s="237"/>
      <c r="B28" s="237"/>
      <c r="C28" s="283"/>
      <c r="D28" s="283"/>
      <c r="E28" s="283"/>
      <c r="F28" s="283"/>
      <c r="G28" s="283"/>
      <c r="H28" s="283"/>
      <c r="I28" s="283"/>
      <c r="J28" s="283"/>
      <c r="K28" s="283"/>
      <c r="L28" s="283"/>
      <c r="M28" s="283"/>
      <c r="N28" s="283"/>
      <c r="O28" s="283"/>
      <c r="P28" s="283"/>
      <c r="Q28" s="283"/>
      <c r="R28" s="283"/>
      <c r="S28" s="288"/>
      <c r="T28" s="288"/>
      <c r="U28" s="288"/>
      <c r="V28" s="398">
        <f>IF(V29=0,0,V29)</f>
        <v>1</v>
      </c>
      <c r="W28" s="401"/>
      <c r="X28" s="239"/>
      <c r="Y28" s="239"/>
      <c r="Z28" s="239"/>
      <c r="AA28" s="239"/>
    </row>
    <row r="29" spans="1:27" s="242" customFormat="1" ht="15">
      <c r="A29" s="234" t="str">
        <f>CONCATENATE("Общ всеобхватен доход за ",YEAR(НАЧАЛО!AA2)-1," г.")</f>
        <v>Общ всеобхватен доход за 2008 г.</v>
      </c>
      <c r="B29" s="221"/>
      <c r="C29" s="285">
        <f>C15+C27</f>
        <v>0</v>
      </c>
      <c r="D29" s="266"/>
      <c r="E29" s="285">
        <f>E15+E27</f>
        <v>0</v>
      </c>
      <c r="F29" s="266"/>
      <c r="G29" s="285">
        <f>G15+G27</f>
        <v>0</v>
      </c>
      <c r="H29" s="266"/>
      <c r="I29" s="285">
        <f>I15+I27</f>
        <v>0</v>
      </c>
      <c r="J29" s="266"/>
      <c r="K29" s="285">
        <f>K15+K27</f>
        <v>0</v>
      </c>
      <c r="L29" s="266"/>
      <c r="M29" s="285">
        <f>M15+M27</f>
        <v>-841</v>
      </c>
      <c r="N29" s="266"/>
      <c r="O29" s="285">
        <f>O15+O27</f>
        <v>-841</v>
      </c>
      <c r="P29" s="266"/>
      <c r="Q29" s="285">
        <f>Q15+Q27</f>
        <v>0</v>
      </c>
      <c r="R29" s="266"/>
      <c r="S29" s="285">
        <f>S15+S27</f>
        <v>-841</v>
      </c>
      <c r="T29" s="266"/>
      <c r="U29" s="266"/>
      <c r="V29" s="398">
        <f>IF(AND(S29=0,MAX(C29:Q29)=0),0,1)</f>
        <v>1</v>
      </c>
      <c r="W29" s="402"/>
      <c r="X29" s="241"/>
      <c r="Y29" s="241"/>
      <c r="Z29" s="241"/>
      <c r="AA29" s="241"/>
    </row>
    <row r="30" spans="1:27" s="242" customFormat="1" ht="15" hidden="1">
      <c r="A30" s="240"/>
      <c r="B30" s="235"/>
      <c r="C30" s="284"/>
      <c r="D30" s="283"/>
      <c r="E30" s="284"/>
      <c r="F30" s="283"/>
      <c r="G30" s="284"/>
      <c r="H30" s="283"/>
      <c r="I30" s="284"/>
      <c r="J30" s="283"/>
      <c r="K30" s="284"/>
      <c r="L30" s="283"/>
      <c r="M30" s="284"/>
      <c r="N30" s="283"/>
      <c r="O30" s="284"/>
      <c r="P30" s="283"/>
      <c r="Q30" s="284"/>
      <c r="R30" s="283"/>
      <c r="S30" s="289"/>
      <c r="T30" s="288"/>
      <c r="U30" s="288"/>
      <c r="V30" s="398">
        <f>IF(V31=0,0,V31)</f>
        <v>0</v>
      </c>
      <c r="W30" s="401"/>
      <c r="X30" s="241"/>
      <c r="Y30" s="241"/>
      <c r="Z30" s="241"/>
      <c r="AA30" s="241"/>
    </row>
    <row r="31" spans="1:27" s="242" customFormat="1" ht="15" hidden="1">
      <c r="A31" s="243" t="s">
        <v>186</v>
      </c>
      <c r="B31" s="235"/>
      <c r="C31" s="284"/>
      <c r="D31" s="339"/>
      <c r="E31" s="284"/>
      <c r="F31" s="339"/>
      <c r="G31" s="284"/>
      <c r="H31" s="339"/>
      <c r="I31" s="284"/>
      <c r="J31" s="339"/>
      <c r="K31" s="284"/>
      <c r="L31" s="339"/>
      <c r="M31" s="284"/>
      <c r="N31" s="339"/>
      <c r="O31" s="333">
        <f>C31+E31+G31+I31+K31+M31</f>
        <v>0</v>
      </c>
      <c r="P31" s="339"/>
      <c r="Q31" s="284"/>
      <c r="R31" s="339"/>
      <c r="S31" s="289">
        <f>O31+Q31</f>
        <v>0</v>
      </c>
      <c r="T31" s="288"/>
      <c r="U31" s="288"/>
      <c r="V31" s="398">
        <f>IF(AND(S31=0,MAX(C31:Q31)=0),0,1)</f>
        <v>0</v>
      </c>
      <c r="W31" s="399"/>
      <c r="X31" s="241"/>
      <c r="Y31" s="241"/>
      <c r="Z31" s="241"/>
      <c r="AA31" s="241"/>
    </row>
    <row r="32" spans="1:27" s="242" customFormat="1" ht="15" hidden="1">
      <c r="A32" s="243"/>
      <c r="B32" s="235"/>
      <c r="C32" s="284"/>
      <c r="D32" s="283"/>
      <c r="E32" s="284"/>
      <c r="F32" s="283"/>
      <c r="G32" s="284"/>
      <c r="H32" s="283"/>
      <c r="I32" s="284"/>
      <c r="J32" s="283"/>
      <c r="K32" s="284"/>
      <c r="L32" s="283"/>
      <c r="M32" s="284"/>
      <c r="N32" s="283"/>
      <c r="O32" s="284"/>
      <c r="P32" s="283"/>
      <c r="Q32" s="284"/>
      <c r="R32" s="283"/>
      <c r="S32" s="289"/>
      <c r="T32" s="288"/>
      <c r="U32" s="288"/>
      <c r="V32" s="398">
        <f>IF(V33=0,0,V33)</f>
        <v>0</v>
      </c>
      <c r="W32" s="401"/>
      <c r="X32" s="241"/>
      <c r="Y32" s="241"/>
      <c r="Z32" s="241"/>
      <c r="AA32" s="241"/>
    </row>
    <row r="33" spans="1:27" s="226" customFormat="1" ht="15" hidden="1">
      <c r="A33" s="243" t="s">
        <v>187</v>
      </c>
      <c r="B33" s="235"/>
      <c r="C33" s="284"/>
      <c r="D33" s="339"/>
      <c r="E33" s="284"/>
      <c r="F33" s="339"/>
      <c r="G33" s="284"/>
      <c r="H33" s="339"/>
      <c r="I33" s="284"/>
      <c r="J33" s="339"/>
      <c r="K33" s="284"/>
      <c r="L33" s="339"/>
      <c r="M33" s="284"/>
      <c r="N33" s="339"/>
      <c r="O33" s="333">
        <f>C33+E33+G33+I33+K33+M33</f>
        <v>0</v>
      </c>
      <c r="P33" s="339"/>
      <c r="Q33" s="284"/>
      <c r="R33" s="339"/>
      <c r="S33" s="289">
        <f>O33+Q33</f>
        <v>0</v>
      </c>
      <c r="T33" s="288"/>
      <c r="U33" s="288"/>
      <c r="V33" s="398">
        <f>IF(AND(S33=0,MAX(C33:Q33)=0),0,1)</f>
        <v>0</v>
      </c>
      <c r="W33" s="399"/>
      <c r="X33" s="239"/>
      <c r="Y33" s="239"/>
      <c r="Z33" s="239"/>
      <c r="AA33" s="239"/>
    </row>
    <row r="34" spans="1:27" s="226" customFormat="1" ht="15" hidden="1">
      <c r="A34" s="243"/>
      <c r="B34" s="235"/>
      <c r="C34" s="284"/>
      <c r="D34" s="283"/>
      <c r="E34" s="284"/>
      <c r="F34" s="283"/>
      <c r="G34" s="284"/>
      <c r="H34" s="283"/>
      <c r="I34" s="284"/>
      <c r="J34" s="283"/>
      <c r="K34" s="284"/>
      <c r="L34" s="283"/>
      <c r="M34" s="284"/>
      <c r="N34" s="283"/>
      <c r="O34" s="284"/>
      <c r="P34" s="283"/>
      <c r="Q34" s="284"/>
      <c r="R34" s="283"/>
      <c r="S34" s="289"/>
      <c r="T34" s="288"/>
      <c r="U34" s="288"/>
      <c r="V34" s="398">
        <f>IF(V35=0,0,V35)</f>
        <v>0</v>
      </c>
      <c r="W34" s="401"/>
      <c r="X34" s="239"/>
      <c r="Y34" s="239"/>
      <c r="Z34" s="239"/>
      <c r="AA34" s="239"/>
    </row>
    <row r="35" spans="1:27" s="226" customFormat="1" ht="15" hidden="1">
      <c r="A35" s="243" t="s">
        <v>168</v>
      </c>
      <c r="B35" s="235"/>
      <c r="C35" s="284"/>
      <c r="D35" s="339"/>
      <c r="E35" s="284"/>
      <c r="F35" s="339"/>
      <c r="G35" s="284"/>
      <c r="H35" s="339"/>
      <c r="I35" s="284"/>
      <c r="J35" s="339"/>
      <c r="K35" s="284"/>
      <c r="L35" s="339"/>
      <c r="M35" s="284"/>
      <c r="N35" s="339"/>
      <c r="O35" s="333">
        <f>C35+E35+G35+I35+K35+M35</f>
        <v>0</v>
      </c>
      <c r="P35" s="339"/>
      <c r="Q35" s="284"/>
      <c r="R35" s="339"/>
      <c r="S35" s="289">
        <f>O35+Q35</f>
        <v>0</v>
      </c>
      <c r="T35" s="288"/>
      <c r="U35" s="288"/>
      <c r="V35" s="398">
        <f>IF(AND(S35=0,MAX(C35:Q35)=0),0,1)</f>
        <v>0</v>
      </c>
      <c r="W35" s="399"/>
      <c r="X35" s="239"/>
      <c r="Y35" s="239"/>
      <c r="Z35" s="239"/>
      <c r="AA35" s="239"/>
    </row>
    <row r="36" spans="1:27" s="226" customFormat="1" ht="15">
      <c r="A36" s="243"/>
      <c r="B36" s="235"/>
      <c r="C36" s="284"/>
      <c r="D36" s="283"/>
      <c r="E36" s="284"/>
      <c r="F36" s="283"/>
      <c r="G36" s="284"/>
      <c r="H36" s="283"/>
      <c r="I36" s="284"/>
      <c r="J36" s="283"/>
      <c r="K36" s="284"/>
      <c r="L36" s="283"/>
      <c r="M36" s="284"/>
      <c r="N36" s="283"/>
      <c r="O36" s="284"/>
      <c r="P36" s="283"/>
      <c r="Q36" s="284"/>
      <c r="R36" s="283"/>
      <c r="S36" s="289"/>
      <c r="T36" s="288"/>
      <c r="U36" s="288"/>
      <c r="V36" s="398">
        <f>IF(V37=0,0,V37)</f>
        <v>1</v>
      </c>
      <c r="W36" s="401"/>
      <c r="X36" s="239"/>
      <c r="Y36" s="239"/>
      <c r="Z36" s="239"/>
      <c r="AA36" s="239"/>
    </row>
    <row r="37" spans="1:27" s="226" customFormat="1" ht="15">
      <c r="A37" s="243" t="s">
        <v>198</v>
      </c>
      <c r="B37" s="235"/>
      <c r="C37" s="284">
        <v>2529</v>
      </c>
      <c r="D37" s="339"/>
      <c r="E37" s="284"/>
      <c r="F37" s="339"/>
      <c r="G37" s="284"/>
      <c r="H37" s="339"/>
      <c r="I37" s="284"/>
      <c r="J37" s="339"/>
      <c r="K37" s="284"/>
      <c r="L37" s="339"/>
      <c r="M37" s="284"/>
      <c r="N37" s="339"/>
      <c r="O37" s="333">
        <f>C37+E37+G37+I37+K37+M37</f>
        <v>2529</v>
      </c>
      <c r="P37" s="339"/>
      <c r="Q37" s="284"/>
      <c r="R37" s="339"/>
      <c r="S37" s="289">
        <f>O37+Q37</f>
        <v>2529</v>
      </c>
      <c r="T37" s="288"/>
      <c r="U37" s="288"/>
      <c r="V37" s="398">
        <f>IF(AND(S37=0,MAX(C37:Q37)=0),0,1)</f>
        <v>1</v>
      </c>
      <c r="W37" s="399"/>
      <c r="X37" s="239"/>
      <c r="Y37" s="239"/>
      <c r="Z37" s="239"/>
      <c r="AA37" s="239"/>
    </row>
    <row r="38" spans="1:27" s="226" customFormat="1" ht="15" hidden="1">
      <c r="A38" s="243"/>
      <c r="B38" s="235"/>
      <c r="C38" s="284"/>
      <c r="D38" s="283"/>
      <c r="E38" s="284"/>
      <c r="F38" s="283"/>
      <c r="G38" s="284"/>
      <c r="H38" s="283"/>
      <c r="I38" s="284"/>
      <c r="J38" s="283"/>
      <c r="K38" s="284"/>
      <c r="L38" s="283"/>
      <c r="M38" s="284"/>
      <c r="N38" s="283"/>
      <c r="O38" s="284"/>
      <c r="P38" s="283"/>
      <c r="Q38" s="284"/>
      <c r="R38" s="283"/>
      <c r="S38" s="289"/>
      <c r="T38" s="288"/>
      <c r="U38" s="288"/>
      <c r="V38" s="398">
        <f>IF(V39=0,0,V39)</f>
        <v>0</v>
      </c>
      <c r="W38" s="401"/>
      <c r="X38" s="239"/>
      <c r="Y38" s="239"/>
      <c r="Z38" s="239"/>
      <c r="AA38" s="239"/>
    </row>
    <row r="39" spans="1:27" s="226" customFormat="1" ht="15" hidden="1">
      <c r="A39" s="243" t="s">
        <v>200</v>
      </c>
      <c r="B39" s="235"/>
      <c r="C39" s="284"/>
      <c r="D39" s="339"/>
      <c r="E39" s="284"/>
      <c r="F39" s="339"/>
      <c r="G39" s="284"/>
      <c r="H39" s="339"/>
      <c r="I39" s="284"/>
      <c r="J39" s="339"/>
      <c r="K39" s="284"/>
      <c r="L39" s="339"/>
      <c r="M39" s="284"/>
      <c r="N39" s="339"/>
      <c r="O39" s="333">
        <f>C39+E39+G39+I39+K39+M39</f>
        <v>0</v>
      </c>
      <c r="P39" s="339"/>
      <c r="Q39" s="284"/>
      <c r="R39" s="339"/>
      <c r="S39" s="289">
        <f>O39+Q39</f>
        <v>0</v>
      </c>
      <c r="T39" s="288"/>
      <c r="U39" s="288"/>
      <c r="V39" s="398">
        <f>IF(AND(S39=0,MAX(C39:Q39)=0),0,1)</f>
        <v>0</v>
      </c>
      <c r="W39" s="399"/>
      <c r="X39" s="239"/>
      <c r="Y39" s="239"/>
      <c r="Z39" s="239"/>
      <c r="AA39" s="239"/>
    </row>
    <row r="40" spans="1:27" s="226" customFormat="1" ht="15" hidden="1">
      <c r="A40" s="243"/>
      <c r="B40" s="235"/>
      <c r="C40" s="284"/>
      <c r="D40" s="283"/>
      <c r="E40" s="284"/>
      <c r="F40" s="283"/>
      <c r="G40" s="284"/>
      <c r="H40" s="283"/>
      <c r="I40" s="284"/>
      <c r="J40" s="283"/>
      <c r="K40" s="284"/>
      <c r="L40" s="283"/>
      <c r="M40" s="284"/>
      <c r="N40" s="283"/>
      <c r="O40" s="284"/>
      <c r="P40" s="283"/>
      <c r="Q40" s="284"/>
      <c r="R40" s="283"/>
      <c r="S40" s="289"/>
      <c r="T40" s="288"/>
      <c r="U40" s="288"/>
      <c r="V40" s="398">
        <f>IF(V41=0,0,V41)</f>
        <v>0</v>
      </c>
      <c r="W40" s="401"/>
      <c r="X40" s="239"/>
      <c r="Y40" s="239"/>
      <c r="Z40" s="239"/>
      <c r="AA40" s="239"/>
    </row>
    <row r="41" spans="1:27" s="226" customFormat="1" ht="15" hidden="1">
      <c r="A41" s="243" t="s">
        <v>17</v>
      </c>
      <c r="B41" s="235"/>
      <c r="C41" s="284"/>
      <c r="D41" s="339"/>
      <c r="E41" s="284"/>
      <c r="F41" s="339"/>
      <c r="G41" s="284"/>
      <c r="H41" s="339"/>
      <c r="I41" s="284"/>
      <c r="J41" s="339"/>
      <c r="K41" s="284"/>
      <c r="L41" s="339"/>
      <c r="M41" s="284"/>
      <c r="N41" s="339"/>
      <c r="O41" s="333">
        <f>C41+E41+G41+I41+K41+M41</f>
        <v>0</v>
      </c>
      <c r="P41" s="339"/>
      <c r="Q41" s="284"/>
      <c r="R41" s="339"/>
      <c r="S41" s="289">
        <f>O41+Q41</f>
        <v>0</v>
      </c>
      <c r="T41" s="288"/>
      <c r="U41" s="288"/>
      <c r="V41" s="398">
        <f>IF(AND(S41=0,MAX(C41:Q41)=0),0,1)</f>
        <v>0</v>
      </c>
      <c r="W41" s="399"/>
      <c r="X41" s="239"/>
      <c r="Y41" s="239"/>
      <c r="Z41" s="239"/>
      <c r="AA41" s="239"/>
    </row>
    <row r="42" spans="1:27" s="226" customFormat="1" ht="15" hidden="1">
      <c r="A42" s="243"/>
      <c r="B42" s="235"/>
      <c r="C42" s="284"/>
      <c r="D42" s="283"/>
      <c r="E42" s="284"/>
      <c r="F42" s="283"/>
      <c r="G42" s="284"/>
      <c r="H42" s="283"/>
      <c r="I42" s="284"/>
      <c r="J42" s="283"/>
      <c r="K42" s="284"/>
      <c r="L42" s="283"/>
      <c r="M42" s="284"/>
      <c r="N42" s="283"/>
      <c r="O42" s="284"/>
      <c r="P42" s="283"/>
      <c r="Q42" s="284"/>
      <c r="R42" s="283"/>
      <c r="S42" s="289"/>
      <c r="T42" s="288"/>
      <c r="U42" s="288"/>
      <c r="V42" s="398">
        <f>IF(V43=0,0,V43)</f>
        <v>0</v>
      </c>
      <c r="W42" s="401"/>
      <c r="X42" s="239"/>
      <c r="Y42" s="239"/>
      <c r="Z42" s="239"/>
      <c r="AA42" s="239"/>
    </row>
    <row r="43" spans="1:27" s="226" customFormat="1" ht="15" hidden="1">
      <c r="A43" s="243" t="s">
        <v>114</v>
      </c>
      <c r="B43" s="235"/>
      <c r="C43" s="284"/>
      <c r="D43" s="339"/>
      <c r="E43" s="284"/>
      <c r="F43" s="339"/>
      <c r="G43" s="284"/>
      <c r="H43" s="339"/>
      <c r="I43" s="284"/>
      <c r="J43" s="339"/>
      <c r="K43" s="284"/>
      <c r="L43" s="339"/>
      <c r="M43" s="284"/>
      <c r="N43" s="339"/>
      <c r="O43" s="333">
        <f>C43+E43+G43+I43+K43+M43</f>
        <v>0</v>
      </c>
      <c r="P43" s="339"/>
      <c r="Q43" s="284"/>
      <c r="R43" s="339"/>
      <c r="S43" s="289">
        <f>O43+Q43</f>
        <v>0</v>
      </c>
      <c r="T43" s="288"/>
      <c r="U43" s="288"/>
      <c r="V43" s="398">
        <f>IF(AND(S43=0,MAX(C43:Q43)=0),0,1)</f>
        <v>0</v>
      </c>
      <c r="W43" s="399"/>
      <c r="X43" s="239"/>
      <c r="Y43" s="239"/>
      <c r="Z43" s="239"/>
      <c r="AA43" s="239"/>
    </row>
    <row r="44" spans="1:27" s="242" customFormat="1" ht="15" hidden="1">
      <c r="A44" s="243"/>
      <c r="B44" s="235"/>
      <c r="C44" s="284"/>
      <c r="D44" s="283"/>
      <c r="E44" s="284"/>
      <c r="F44" s="283"/>
      <c r="G44" s="284"/>
      <c r="H44" s="283"/>
      <c r="I44" s="284"/>
      <c r="J44" s="283"/>
      <c r="K44" s="284"/>
      <c r="L44" s="283"/>
      <c r="M44" s="284"/>
      <c r="N44" s="283"/>
      <c r="O44" s="284"/>
      <c r="P44" s="283"/>
      <c r="Q44" s="284"/>
      <c r="R44" s="283"/>
      <c r="S44" s="289"/>
      <c r="T44" s="288"/>
      <c r="U44" s="288"/>
      <c r="V44" s="398">
        <f>IF(V45=0,0,V45)</f>
        <v>0</v>
      </c>
      <c r="W44" s="398"/>
      <c r="X44" s="241"/>
      <c r="Y44" s="241"/>
      <c r="Z44" s="241"/>
      <c r="AA44" s="241"/>
    </row>
    <row r="45" spans="1:27" s="226" customFormat="1" ht="15" hidden="1">
      <c r="A45" s="243" t="s">
        <v>89</v>
      </c>
      <c r="B45" s="235"/>
      <c r="C45" s="284"/>
      <c r="D45" s="339"/>
      <c r="E45" s="284"/>
      <c r="F45" s="339"/>
      <c r="G45" s="284"/>
      <c r="H45" s="339"/>
      <c r="I45" s="284"/>
      <c r="J45" s="339"/>
      <c r="K45" s="284"/>
      <c r="L45" s="339"/>
      <c r="M45" s="284"/>
      <c r="N45" s="339"/>
      <c r="O45" s="333">
        <f>C45+E45+G45+I45+K45+M45</f>
        <v>0</v>
      </c>
      <c r="P45" s="339"/>
      <c r="Q45" s="284"/>
      <c r="R45" s="339"/>
      <c r="S45" s="289">
        <f>O45+Q45</f>
        <v>0</v>
      </c>
      <c r="T45" s="288"/>
      <c r="U45" s="288"/>
      <c r="V45" s="398">
        <f>IF(AND(S45=0,MAX(C45:Q45)=0),0,1)</f>
        <v>0</v>
      </c>
      <c r="W45" s="399"/>
      <c r="X45" s="239"/>
      <c r="Y45" s="239"/>
      <c r="Z45" s="239"/>
      <c r="AA45" s="239"/>
    </row>
    <row r="46" spans="1:27" s="242" customFormat="1" ht="15" hidden="1">
      <c r="A46" s="243"/>
      <c r="B46" s="235"/>
      <c r="C46" s="284"/>
      <c r="D46" s="283"/>
      <c r="E46" s="284"/>
      <c r="F46" s="283"/>
      <c r="G46" s="284"/>
      <c r="H46" s="283"/>
      <c r="I46" s="284"/>
      <c r="J46" s="283"/>
      <c r="K46" s="284"/>
      <c r="L46" s="283"/>
      <c r="M46" s="284"/>
      <c r="N46" s="283"/>
      <c r="O46" s="284"/>
      <c r="P46" s="283"/>
      <c r="Q46" s="284"/>
      <c r="R46" s="283"/>
      <c r="S46" s="289"/>
      <c r="T46" s="288"/>
      <c r="U46" s="288"/>
      <c r="V46" s="398">
        <f>IF(V47=0,0,V47)</f>
        <v>0</v>
      </c>
      <c r="W46" s="398"/>
      <c r="X46" s="241"/>
      <c r="Y46" s="241"/>
      <c r="Z46" s="241"/>
      <c r="AA46" s="241"/>
    </row>
    <row r="47" spans="1:27" s="226" customFormat="1" ht="25.5" hidden="1">
      <c r="A47" s="243" t="s">
        <v>126</v>
      </c>
      <c r="B47" s="235"/>
      <c r="C47" s="284"/>
      <c r="D47" s="339"/>
      <c r="E47" s="284"/>
      <c r="F47" s="339"/>
      <c r="G47" s="284"/>
      <c r="H47" s="339"/>
      <c r="I47" s="284"/>
      <c r="J47" s="339"/>
      <c r="K47" s="284"/>
      <c r="L47" s="339"/>
      <c r="M47" s="284"/>
      <c r="N47" s="339"/>
      <c r="O47" s="333">
        <f>C47+E47+G47+I47+K47+M47</f>
        <v>0</v>
      </c>
      <c r="P47" s="339"/>
      <c r="Q47" s="284"/>
      <c r="R47" s="339"/>
      <c r="S47" s="289">
        <f>O47+Q47</f>
        <v>0</v>
      </c>
      <c r="T47" s="288"/>
      <c r="U47" s="288"/>
      <c r="V47" s="398">
        <f>IF(AND(S47=0,MAX(C47:Q47)=0),0,1)</f>
        <v>0</v>
      </c>
      <c r="W47" s="399"/>
      <c r="X47" s="239"/>
      <c r="Y47" s="239"/>
      <c r="Z47" s="239"/>
      <c r="AA47" s="239"/>
    </row>
    <row r="48" spans="1:27" s="226" customFormat="1" ht="15">
      <c r="A48" s="243"/>
      <c r="B48" s="235"/>
      <c r="C48" s="284"/>
      <c r="D48" s="283"/>
      <c r="E48" s="284"/>
      <c r="F48" s="283"/>
      <c r="G48" s="284"/>
      <c r="H48" s="283"/>
      <c r="I48" s="284"/>
      <c r="J48" s="283"/>
      <c r="K48" s="284"/>
      <c r="L48" s="283"/>
      <c r="M48" s="284"/>
      <c r="N48" s="283"/>
      <c r="O48" s="284"/>
      <c r="P48" s="283"/>
      <c r="Q48" s="284"/>
      <c r="R48" s="283"/>
      <c r="S48" s="289"/>
      <c r="T48" s="288"/>
      <c r="U48" s="288"/>
      <c r="V48" s="398">
        <f>IF(V49=0,0,V49)</f>
        <v>1</v>
      </c>
      <c r="W48" s="401"/>
      <c r="X48" s="239"/>
      <c r="Y48" s="239"/>
      <c r="Z48" s="239"/>
      <c r="AA48" s="239"/>
    </row>
    <row r="49" spans="1:27" s="226" customFormat="1" ht="15">
      <c r="A49" s="243" t="s">
        <v>160</v>
      </c>
      <c r="B49" s="235"/>
      <c r="C49" s="284"/>
      <c r="D49" s="339"/>
      <c r="E49" s="284">
        <v>10072</v>
      </c>
      <c r="F49" s="339"/>
      <c r="G49" s="284"/>
      <c r="H49" s="339"/>
      <c r="I49" s="284"/>
      <c r="J49" s="339"/>
      <c r="K49" s="284"/>
      <c r="L49" s="339"/>
      <c r="M49" s="284"/>
      <c r="N49" s="339"/>
      <c r="O49" s="333">
        <f>C49+E49+G49+I49+K49+M49</f>
        <v>10072</v>
      </c>
      <c r="P49" s="339"/>
      <c r="Q49" s="284"/>
      <c r="R49" s="339"/>
      <c r="S49" s="289">
        <f>O49+Q49</f>
        <v>10072</v>
      </c>
      <c r="T49" s="288"/>
      <c r="U49" s="288"/>
      <c r="V49" s="398">
        <f>IF(AND(S49=0,MAX(C49:Q49)=0),0,1)</f>
        <v>1</v>
      </c>
      <c r="W49" s="399"/>
      <c r="X49" s="239"/>
      <c r="Y49" s="239"/>
      <c r="Z49" s="239"/>
      <c r="AA49" s="239"/>
    </row>
    <row r="50" spans="1:27" s="226" customFormat="1" ht="15">
      <c r="A50" s="332"/>
      <c r="B50" s="235"/>
      <c r="C50" s="284"/>
      <c r="D50" s="283"/>
      <c r="E50" s="284"/>
      <c r="F50" s="283"/>
      <c r="G50" s="284"/>
      <c r="H50" s="283"/>
      <c r="I50" s="284"/>
      <c r="J50" s="283"/>
      <c r="K50" s="284"/>
      <c r="L50" s="283"/>
      <c r="M50" s="284"/>
      <c r="N50" s="283"/>
      <c r="O50" s="284"/>
      <c r="P50" s="283"/>
      <c r="Q50" s="284"/>
      <c r="R50" s="283"/>
      <c r="S50" s="289"/>
      <c r="T50" s="288"/>
      <c r="U50" s="288"/>
      <c r="V50" s="398">
        <f>IF(V51=0,0,V51)</f>
        <v>1</v>
      </c>
      <c r="W50" s="401"/>
      <c r="X50" s="239"/>
      <c r="Y50" s="239"/>
      <c r="Z50" s="239"/>
      <c r="AA50" s="239"/>
    </row>
    <row r="51" spans="1:27" s="230" customFormat="1" ht="15.75" thickBot="1">
      <c r="A51" s="227" t="str">
        <f>CONCATENATE("Остатък към ",НАЧАЛО!AA1,".",НАЧАЛО!AB1,".",НАЧАЛО!AC1-1," г.")</f>
        <v>Остатък към 31.12.2008 г.</v>
      </c>
      <c r="B51" s="221"/>
      <c r="C51" s="268">
        <f>C11+C13</f>
        <v>58363</v>
      </c>
      <c r="D51" s="266"/>
      <c r="E51" s="268">
        <f>E11+E13</f>
        <v>10072</v>
      </c>
      <c r="F51" s="266"/>
      <c r="G51" s="268">
        <f>G11+G13</f>
        <v>0</v>
      </c>
      <c r="H51" s="266"/>
      <c r="I51" s="268">
        <f>I11+I13</f>
        <v>0</v>
      </c>
      <c r="J51" s="266"/>
      <c r="K51" s="268">
        <f>K11+K13</f>
        <v>0</v>
      </c>
      <c r="L51" s="266"/>
      <c r="M51" s="268">
        <f>M11+M13</f>
        <v>-3497</v>
      </c>
      <c r="N51" s="266"/>
      <c r="O51" s="268">
        <f>O11+O13</f>
        <v>64938</v>
      </c>
      <c r="P51" s="266"/>
      <c r="Q51" s="268">
        <f>Q11+Q13</f>
        <v>0</v>
      </c>
      <c r="R51" s="266"/>
      <c r="S51" s="268">
        <f>S11+S13</f>
        <v>64938</v>
      </c>
      <c r="T51" s="267"/>
      <c r="U51" s="267"/>
      <c r="V51" s="398">
        <f>IF(AND(S51=0,MAX(C51:Q51)=0),0,1)</f>
        <v>1</v>
      </c>
      <c r="W51" s="402"/>
      <c r="X51" s="238"/>
      <c r="Y51" s="238"/>
      <c r="Z51" s="238"/>
      <c r="AA51" s="238"/>
    </row>
    <row r="52" spans="1:27" s="230" customFormat="1" ht="15" customHeight="1">
      <c r="A52" s="7">
        <f>IF(AND(C52="",E52="",I52="",O52="",K52="",M52="",Q52="",S52=""),"","Разлика в перата между СК и БАЛАНСА!")</f>
      </c>
      <c r="B52" s="3"/>
      <c r="C52" s="8">
        <f>IF($V53=2,"",IF(СК!C$51=баланс!I$55,"",СК!C$51-баланс!I$55))</f>
      </c>
      <c r="D52" s="8"/>
      <c r="E52" s="8">
        <f>IF($V53=2,"",IF(СК!E$51=баланс!$I$60,"",СК!E$51-баланс!$I$60))</f>
      </c>
      <c r="F52" s="382"/>
      <c r="G52" s="9">
        <f>IF($V53=2,"",IF(СК!G$51=баланс!$I$62,"",СК!G$51-баланс!$I$62))</f>
      </c>
      <c r="H52" s="382"/>
      <c r="I52" s="9">
        <f>IF($V53=2,"",IF(СК!I$51=баланс!$I$64,"",СК!I$51-баланс!$I$64))</f>
      </c>
      <c r="J52" s="9"/>
      <c r="K52" s="9">
        <f>IF($V53=2,"",IF(СК!K$51=баланс!$I$66,"",СК!K$51-баланс!$I$66))</f>
      </c>
      <c r="L52" s="8"/>
      <c r="M52" s="8">
        <f>IF($V53=2,"",IF(СК!M$51=баланс!I$68,"",СК!M51-баланс!I$68))</f>
      </c>
      <c r="N52" s="9"/>
      <c r="O52" s="8">
        <f>IF($V53=2,"",IF(СК!O$51=баланс!I$72,"",СК!O51-баланс!I$72))</f>
      </c>
      <c r="P52" s="8"/>
      <c r="Q52" s="8">
        <f>IF($V53=2,"",IF(СК!Q$51=баланс!I$74,"",СК!Q51-баланс!I$74))</f>
      </c>
      <c r="R52" s="8"/>
      <c r="S52" s="8">
        <f>IF($V53=2,"",IF(СК!S$51=баланс!I$76,"",СК!S51-баланс!I$76))</f>
      </c>
      <c r="T52" s="266"/>
      <c r="U52" s="266"/>
      <c r="V52" s="398">
        <v>2</v>
      </c>
      <c r="W52" s="398"/>
      <c r="X52" s="238"/>
      <c r="Y52" s="238"/>
      <c r="Z52" s="238"/>
      <c r="AA52" s="238"/>
    </row>
    <row r="53" spans="1:27" s="230" customFormat="1" ht="15" hidden="1">
      <c r="A53" s="409" t="str">
        <f>CONCATENATE("Остатък към 1.01.",НАЧАЛО!AC1," г.")</f>
        <v>Остатък към 1.01.2009 г.</v>
      </c>
      <c r="B53" s="221"/>
      <c r="C53" s="285">
        <f>баланс!I55</f>
        <v>58363</v>
      </c>
      <c r="D53" s="266"/>
      <c r="E53" s="285">
        <f>баланс!I60</f>
        <v>10072</v>
      </c>
      <c r="F53" s="286"/>
      <c r="G53" s="285">
        <f>баланс!I62</f>
        <v>0</v>
      </c>
      <c r="H53" s="286"/>
      <c r="I53" s="285">
        <f>баланс!I64</f>
        <v>0</v>
      </c>
      <c r="J53" s="286"/>
      <c r="K53" s="285">
        <f>баланс!I66</f>
        <v>0</v>
      </c>
      <c r="L53" s="286"/>
      <c r="M53" s="285">
        <f>баланс!I68</f>
        <v>-3497</v>
      </c>
      <c r="N53" s="286"/>
      <c r="O53" s="285">
        <f>C53+E53+G53+I53+K53+M53</f>
        <v>64938</v>
      </c>
      <c r="P53" s="339"/>
      <c r="Q53" s="285">
        <f>баланс!I74</f>
        <v>0</v>
      </c>
      <c r="R53" s="339"/>
      <c r="S53" s="285">
        <f>O53+Q53</f>
        <v>64938</v>
      </c>
      <c r="T53" s="266"/>
      <c r="U53" s="266"/>
      <c r="V53" s="398">
        <f>IF(НАЧАЛО!AB3=1,0,2)</f>
        <v>0</v>
      </c>
      <c r="W53" s="398"/>
      <c r="X53" s="238"/>
      <c r="Y53" s="238"/>
      <c r="Z53" s="238"/>
      <c r="AA53" s="238"/>
    </row>
    <row r="54" spans="1:27" s="230" customFormat="1" ht="15" hidden="1">
      <c r="A54" s="231"/>
      <c r="B54" s="221"/>
      <c r="C54" s="224"/>
      <c r="D54" s="228"/>
      <c r="E54" s="224"/>
      <c r="F54" s="228"/>
      <c r="G54" s="224"/>
      <c r="H54" s="228"/>
      <c r="I54" s="224"/>
      <c r="J54" s="228"/>
      <c r="K54" s="224"/>
      <c r="L54" s="228"/>
      <c r="M54" s="224"/>
      <c r="N54" s="228"/>
      <c r="O54" s="224"/>
      <c r="P54" s="228"/>
      <c r="Q54" s="224"/>
      <c r="R54" s="228"/>
      <c r="S54" s="267"/>
      <c r="T54" s="267"/>
      <c r="U54" s="267"/>
      <c r="V54" s="398">
        <f>IF(V53=0,0,V53)</f>
        <v>0</v>
      </c>
      <c r="W54" s="398"/>
      <c r="X54" s="238"/>
      <c r="Y54" s="238"/>
      <c r="Z54" s="238"/>
      <c r="AA54" s="238"/>
    </row>
    <row r="55" spans="1:27" s="230" customFormat="1" ht="15">
      <c r="A55" s="234" t="str">
        <f>CONCATENATE("Промени в собствения капитал за ",YEAR(НАЧАЛО!AA2)," г.")</f>
        <v>Промени в собствения капитал за 2009 г.</v>
      </c>
      <c r="B55" s="221"/>
      <c r="C55" s="285">
        <f>C71+C73+C75+C77+C79+C81+C83+C85+C87+C89+C91</f>
        <v>0</v>
      </c>
      <c r="D55" s="339"/>
      <c r="E55" s="285">
        <f>E71+E73+E75+E77+E79+E81+E83+E85+E87+E89+E91</f>
        <v>0</v>
      </c>
      <c r="F55" s="339"/>
      <c r="G55" s="285">
        <f>G71+G73+G75+G77+G79+G81+G83+G85+G87+G89+G91</f>
        <v>0</v>
      </c>
      <c r="H55" s="339"/>
      <c r="I55" s="285">
        <f>I71+I73+I75+I77+I79+I81+I83+I85+I87+I89+I91</f>
        <v>0</v>
      </c>
      <c r="J55" s="339"/>
      <c r="K55" s="285">
        <f>K71+K73+K75+K77+K79+K81+K83+K85+K87+K89+K91</f>
        <v>0</v>
      </c>
      <c r="L55" s="339"/>
      <c r="M55" s="285">
        <f>M71+M73+M75+M77+M79+M81+M83+M85+M87+M89+M91</f>
        <v>-419</v>
      </c>
      <c r="N55" s="339"/>
      <c r="O55" s="285">
        <f>O71+O73+O75+O77+O79+O81+O83+O85+O87+O89+O91</f>
        <v>-419</v>
      </c>
      <c r="P55" s="339"/>
      <c r="Q55" s="285">
        <f>Q71+Q73+Q75+Q77+Q79+Q81+Q83+Q85+Q87+Q89+Q91</f>
        <v>0</v>
      </c>
      <c r="R55" s="339"/>
      <c r="S55" s="285">
        <f>S71+S73+S75+S77+S79+S81+S83+S85+S87+S89+S91</f>
        <v>-419</v>
      </c>
      <c r="T55" s="266"/>
      <c r="U55" s="266"/>
      <c r="V55" s="398">
        <f>IF(AND(S55=0,MAX(C55:Q55)=0),0,1)</f>
        <v>1</v>
      </c>
      <c r="W55" s="398"/>
      <c r="X55" s="238"/>
      <c r="Y55" s="238"/>
      <c r="Z55" s="238"/>
      <c r="AA55" s="238"/>
    </row>
    <row r="56" spans="1:27" s="230" customFormat="1" ht="15">
      <c r="A56" s="231"/>
      <c r="B56" s="221"/>
      <c r="C56" s="224"/>
      <c r="D56" s="228"/>
      <c r="E56" s="224"/>
      <c r="F56" s="228"/>
      <c r="G56" s="224"/>
      <c r="H56" s="228"/>
      <c r="I56" s="224"/>
      <c r="J56" s="228"/>
      <c r="K56" s="224"/>
      <c r="L56" s="228"/>
      <c r="M56" s="224"/>
      <c r="N56" s="228"/>
      <c r="O56" s="224"/>
      <c r="P56" s="228"/>
      <c r="Q56" s="224"/>
      <c r="R56" s="228"/>
      <c r="S56" s="267"/>
      <c r="T56" s="267"/>
      <c r="U56" s="267"/>
      <c r="V56" s="398">
        <f>IF(V71=0,0,V71)</f>
        <v>1</v>
      </c>
      <c r="W56" s="398"/>
      <c r="X56" s="238"/>
      <c r="Y56" s="238"/>
      <c r="Z56" s="238"/>
      <c r="AA56" s="238"/>
    </row>
    <row r="57" spans="1:23" s="230" customFormat="1" ht="15" hidden="1">
      <c r="A57" s="243" t="s">
        <v>57</v>
      </c>
      <c r="B57" s="235"/>
      <c r="C57" s="333">
        <f>C58+C59+C64+C60+C61+C65+C62+C66+C63+C67</f>
        <v>0</v>
      </c>
      <c r="D57" s="339"/>
      <c r="E57" s="333">
        <f>E58+E59+E64+E60+E61+E65+E62+E66+E63+E67</f>
        <v>0</v>
      </c>
      <c r="F57" s="339"/>
      <c r="G57" s="333">
        <f>G58+G59+G64+G60+G61+G65+G62+G66+G63+G67</f>
        <v>0</v>
      </c>
      <c r="H57" s="339"/>
      <c r="I57" s="333">
        <f>I58+I59+I64+I60+I61+I65+I62+I66+I63+I67</f>
        <v>0</v>
      </c>
      <c r="J57" s="339"/>
      <c r="K57" s="333">
        <f>K58+K59+K64+K60+K61+K65+K62+K66+K63+K67</f>
        <v>0</v>
      </c>
      <c r="L57" s="339"/>
      <c r="M57" s="333">
        <f>M58+M59+M64+M60+M61+M65+M62+M66+M63+M67</f>
        <v>0</v>
      </c>
      <c r="N57" s="339"/>
      <c r="O57" s="333">
        <f>O58+O59+O64+O60+O61+O65+O62+O66+O63+O67</f>
        <v>0</v>
      </c>
      <c r="P57" s="339"/>
      <c r="Q57" s="333">
        <f>Q58+Q59+Q64+Q60+Q61+Q65+Q62+Q66+Q63+Q67</f>
        <v>0</v>
      </c>
      <c r="R57" s="339"/>
      <c r="S57" s="333">
        <f>S58+S59+S64+S60+S61+S65+S62+S66+S63+S67</f>
        <v>0</v>
      </c>
      <c r="T57" s="283"/>
      <c r="U57" s="283"/>
      <c r="V57" s="398">
        <f aca="true" t="shared" si="3" ref="V57:V67">IF(AND(S57=0,MAX(C57:Q57)=0),0,1)</f>
        <v>0</v>
      </c>
      <c r="W57" s="399"/>
    </row>
    <row r="58" spans="1:27" s="230" customFormat="1" ht="14.25" customHeight="1" hidden="1">
      <c r="A58" s="237" t="s">
        <v>113</v>
      </c>
      <c r="B58" s="237"/>
      <c r="C58" s="236"/>
      <c r="D58" s="236"/>
      <c r="E58" s="236"/>
      <c r="F58" s="236"/>
      <c r="G58" s="236"/>
      <c r="H58" s="236"/>
      <c r="I58" s="236"/>
      <c r="J58" s="236"/>
      <c r="K58" s="236"/>
      <c r="L58" s="236"/>
      <c r="M58" s="236"/>
      <c r="N58" s="236"/>
      <c r="O58" s="224">
        <f aca="true" t="shared" si="4" ref="O58:O67">C58+E58+G58+I58+K58+M58</f>
        <v>0</v>
      </c>
      <c r="P58" s="339"/>
      <c r="Q58" s="236"/>
      <c r="R58" s="339"/>
      <c r="S58" s="267">
        <f aca="true" t="shared" si="5" ref="S58:S67">O58+Q58</f>
        <v>0</v>
      </c>
      <c r="T58" s="267"/>
      <c r="U58" s="267"/>
      <c r="V58" s="398">
        <f t="shared" si="3"/>
        <v>0</v>
      </c>
      <c r="W58" s="398"/>
      <c r="X58" s="238"/>
      <c r="Y58" s="238"/>
      <c r="Z58" s="238"/>
      <c r="AA58" s="238"/>
    </row>
    <row r="59" spans="1:27" s="230" customFormat="1" ht="25.5" hidden="1">
      <c r="A59" s="237" t="s">
        <v>60</v>
      </c>
      <c r="B59" s="237"/>
      <c r="C59" s="236"/>
      <c r="D59" s="236"/>
      <c r="E59" s="236"/>
      <c r="F59" s="236"/>
      <c r="G59" s="236"/>
      <c r="H59" s="236"/>
      <c r="I59" s="236"/>
      <c r="J59" s="236"/>
      <c r="K59" s="236"/>
      <c r="L59" s="236"/>
      <c r="M59" s="236"/>
      <c r="N59" s="236"/>
      <c r="O59" s="224">
        <f t="shared" si="4"/>
        <v>0</v>
      </c>
      <c r="P59" s="339"/>
      <c r="Q59" s="236"/>
      <c r="R59" s="339"/>
      <c r="S59" s="267">
        <f t="shared" si="5"/>
        <v>0</v>
      </c>
      <c r="T59" s="267"/>
      <c r="U59" s="267"/>
      <c r="V59" s="398">
        <f t="shared" si="3"/>
        <v>0</v>
      </c>
      <c r="W59" s="398"/>
      <c r="X59" s="238"/>
      <c r="Y59" s="238"/>
      <c r="Z59" s="238"/>
      <c r="AA59" s="238"/>
    </row>
    <row r="60" spans="1:27" s="230" customFormat="1" ht="15" hidden="1">
      <c r="A60" s="237" t="s">
        <v>62</v>
      </c>
      <c r="B60" s="237"/>
      <c r="C60" s="236"/>
      <c r="D60" s="236"/>
      <c r="E60" s="236"/>
      <c r="F60" s="236"/>
      <c r="G60" s="236"/>
      <c r="H60" s="236"/>
      <c r="I60" s="236"/>
      <c r="J60" s="236"/>
      <c r="K60" s="236"/>
      <c r="L60" s="236"/>
      <c r="M60" s="236"/>
      <c r="N60" s="236"/>
      <c r="O60" s="224">
        <f t="shared" si="4"/>
        <v>0</v>
      </c>
      <c r="P60" s="339"/>
      <c r="Q60" s="236"/>
      <c r="R60" s="339"/>
      <c r="S60" s="267">
        <f t="shared" si="5"/>
        <v>0</v>
      </c>
      <c r="T60" s="267"/>
      <c r="U60" s="267"/>
      <c r="V60" s="398">
        <f t="shared" si="3"/>
        <v>0</v>
      </c>
      <c r="W60" s="398"/>
      <c r="X60" s="238"/>
      <c r="Y60" s="238"/>
      <c r="Z60" s="238"/>
      <c r="AA60" s="238"/>
    </row>
    <row r="61" spans="1:27" s="230" customFormat="1" ht="15" hidden="1">
      <c r="A61" s="237" t="s">
        <v>63</v>
      </c>
      <c r="B61" s="237"/>
      <c r="C61" s="236"/>
      <c r="D61" s="236"/>
      <c r="E61" s="236"/>
      <c r="F61" s="236"/>
      <c r="G61" s="236"/>
      <c r="H61" s="236"/>
      <c r="I61" s="236"/>
      <c r="J61" s="236"/>
      <c r="K61" s="236"/>
      <c r="L61" s="236"/>
      <c r="M61" s="236"/>
      <c r="N61" s="236"/>
      <c r="O61" s="224">
        <f t="shared" si="4"/>
        <v>0</v>
      </c>
      <c r="P61" s="339"/>
      <c r="Q61" s="236"/>
      <c r="R61" s="339"/>
      <c r="S61" s="267">
        <f t="shared" si="5"/>
        <v>0</v>
      </c>
      <c r="T61" s="267"/>
      <c r="U61" s="267"/>
      <c r="V61" s="398">
        <f t="shared" si="3"/>
        <v>0</v>
      </c>
      <c r="W61" s="398"/>
      <c r="X61" s="238"/>
      <c r="Y61" s="238"/>
      <c r="Z61" s="238"/>
      <c r="AA61" s="238"/>
    </row>
    <row r="62" spans="1:27" s="230" customFormat="1" ht="15" hidden="1">
      <c r="A62" s="237" t="s">
        <v>64</v>
      </c>
      <c r="B62" s="237"/>
      <c r="C62" s="236"/>
      <c r="D62" s="236"/>
      <c r="E62" s="236"/>
      <c r="F62" s="236"/>
      <c r="G62" s="236"/>
      <c r="H62" s="236"/>
      <c r="I62" s="236"/>
      <c r="J62" s="236"/>
      <c r="K62" s="236"/>
      <c r="L62" s="236"/>
      <c r="M62" s="236"/>
      <c r="N62" s="236"/>
      <c r="O62" s="224">
        <f t="shared" si="4"/>
        <v>0</v>
      </c>
      <c r="P62" s="339"/>
      <c r="Q62" s="236"/>
      <c r="R62" s="339"/>
      <c r="S62" s="267">
        <f t="shared" si="5"/>
        <v>0</v>
      </c>
      <c r="T62" s="267"/>
      <c r="U62" s="267"/>
      <c r="V62" s="398">
        <f t="shared" si="3"/>
        <v>0</v>
      </c>
      <c r="W62" s="398"/>
      <c r="X62" s="238"/>
      <c r="Y62" s="238"/>
      <c r="Z62" s="238"/>
      <c r="AA62" s="238"/>
    </row>
    <row r="63" spans="1:27" s="230" customFormat="1" ht="25.5" hidden="1">
      <c r="A63" s="237" t="s">
        <v>56</v>
      </c>
      <c r="B63" s="237"/>
      <c r="C63" s="236"/>
      <c r="D63" s="236"/>
      <c r="E63" s="236"/>
      <c r="F63" s="236"/>
      <c r="G63" s="236"/>
      <c r="H63" s="236"/>
      <c r="I63" s="236"/>
      <c r="J63" s="236"/>
      <c r="K63" s="236"/>
      <c r="L63" s="236"/>
      <c r="M63" s="236"/>
      <c r="N63" s="236"/>
      <c r="O63" s="224">
        <f t="shared" si="4"/>
        <v>0</v>
      </c>
      <c r="P63" s="339"/>
      <c r="Q63" s="236"/>
      <c r="R63" s="339"/>
      <c r="S63" s="267">
        <f t="shared" si="5"/>
        <v>0</v>
      </c>
      <c r="T63" s="267"/>
      <c r="U63" s="267"/>
      <c r="V63" s="398">
        <f t="shared" si="3"/>
        <v>0</v>
      </c>
      <c r="W63" s="398"/>
      <c r="X63" s="238"/>
      <c r="Y63" s="238"/>
      <c r="Z63" s="238"/>
      <c r="AA63" s="238"/>
    </row>
    <row r="64" spans="1:27" s="230" customFormat="1" ht="25.5" hidden="1">
      <c r="A64" s="237" t="s">
        <v>123</v>
      </c>
      <c r="B64" s="237"/>
      <c r="C64" s="236"/>
      <c r="D64" s="236"/>
      <c r="E64" s="236"/>
      <c r="F64" s="236"/>
      <c r="G64" s="236"/>
      <c r="H64" s="236"/>
      <c r="I64" s="236"/>
      <c r="J64" s="236"/>
      <c r="K64" s="236"/>
      <c r="L64" s="236"/>
      <c r="M64" s="236"/>
      <c r="N64" s="236"/>
      <c r="O64" s="224">
        <f t="shared" si="4"/>
        <v>0</v>
      </c>
      <c r="P64" s="339"/>
      <c r="Q64" s="236"/>
      <c r="R64" s="339"/>
      <c r="S64" s="267">
        <f>O64+Q64</f>
        <v>0</v>
      </c>
      <c r="T64" s="267"/>
      <c r="U64" s="267"/>
      <c r="V64" s="398">
        <f t="shared" si="3"/>
        <v>0</v>
      </c>
      <c r="W64" s="398"/>
      <c r="X64" s="238"/>
      <c r="Y64" s="238"/>
      <c r="Z64" s="238"/>
      <c r="AA64" s="238"/>
    </row>
    <row r="65" spans="1:27" s="230" customFormat="1" ht="26.25" customHeight="1" hidden="1">
      <c r="A65" s="237" t="s">
        <v>125</v>
      </c>
      <c r="B65" s="237"/>
      <c r="C65" s="236"/>
      <c r="D65" s="236"/>
      <c r="E65" s="236"/>
      <c r="F65" s="236"/>
      <c r="G65" s="236"/>
      <c r="H65" s="236"/>
      <c r="I65" s="236"/>
      <c r="J65" s="236"/>
      <c r="K65" s="236"/>
      <c r="L65" s="236"/>
      <c r="M65" s="236"/>
      <c r="N65" s="236"/>
      <c r="O65" s="224">
        <f t="shared" si="4"/>
        <v>0</v>
      </c>
      <c r="P65" s="339"/>
      <c r="Q65" s="236"/>
      <c r="R65" s="339"/>
      <c r="S65" s="267">
        <f>O65+Q65</f>
        <v>0</v>
      </c>
      <c r="T65" s="267"/>
      <c r="U65" s="267"/>
      <c r="V65" s="398">
        <f t="shared" si="3"/>
        <v>0</v>
      </c>
      <c r="W65" s="398"/>
      <c r="X65" s="238"/>
      <c r="Y65" s="238"/>
      <c r="Z65" s="238"/>
      <c r="AA65" s="238"/>
    </row>
    <row r="66" spans="1:27" s="230" customFormat="1" ht="25.5" hidden="1">
      <c r="A66" s="237" t="s">
        <v>124</v>
      </c>
      <c r="B66" s="237"/>
      <c r="C66" s="236"/>
      <c r="D66" s="236"/>
      <c r="E66" s="236"/>
      <c r="F66" s="236"/>
      <c r="G66" s="236"/>
      <c r="H66" s="236"/>
      <c r="I66" s="236"/>
      <c r="J66" s="236"/>
      <c r="K66" s="236"/>
      <c r="L66" s="236"/>
      <c r="M66" s="236"/>
      <c r="N66" s="236"/>
      <c r="O66" s="224">
        <f t="shared" si="4"/>
        <v>0</v>
      </c>
      <c r="P66" s="339"/>
      <c r="Q66" s="236"/>
      <c r="R66" s="339"/>
      <c r="S66" s="267">
        <f>O66+Q66</f>
        <v>0</v>
      </c>
      <c r="T66" s="267"/>
      <c r="U66" s="267"/>
      <c r="V66" s="398">
        <f t="shared" si="3"/>
        <v>0</v>
      </c>
      <c r="W66" s="398"/>
      <c r="X66" s="238"/>
      <c r="Y66" s="238"/>
      <c r="Z66" s="238"/>
      <c r="AA66" s="238"/>
    </row>
    <row r="67" spans="1:27" s="230" customFormat="1" ht="15" hidden="1">
      <c r="A67" s="237" t="s">
        <v>61</v>
      </c>
      <c r="B67" s="237"/>
      <c r="C67" s="236"/>
      <c r="D67" s="236"/>
      <c r="E67" s="236"/>
      <c r="F67" s="236"/>
      <c r="G67" s="236"/>
      <c r="H67" s="236"/>
      <c r="I67" s="236"/>
      <c r="J67" s="236"/>
      <c r="K67" s="236"/>
      <c r="L67" s="236"/>
      <c r="M67" s="236"/>
      <c r="N67" s="236"/>
      <c r="O67" s="224">
        <f t="shared" si="4"/>
        <v>0</v>
      </c>
      <c r="P67" s="339"/>
      <c r="Q67" s="236"/>
      <c r="R67" s="339"/>
      <c r="S67" s="267">
        <f t="shared" si="5"/>
        <v>0</v>
      </c>
      <c r="T67" s="267"/>
      <c r="U67" s="267"/>
      <c r="V67" s="398">
        <f t="shared" si="3"/>
        <v>0</v>
      </c>
      <c r="W67" s="398"/>
      <c r="X67" s="238"/>
      <c r="Y67" s="238"/>
      <c r="Z67" s="238"/>
      <c r="AA67" s="238"/>
    </row>
    <row r="68" spans="1:27" s="230" customFormat="1" ht="15">
      <c r="A68" s="240"/>
      <c r="B68" s="235"/>
      <c r="C68" s="284"/>
      <c r="D68" s="283"/>
      <c r="E68" s="284"/>
      <c r="F68" s="283"/>
      <c r="G68" s="284"/>
      <c r="H68" s="283"/>
      <c r="I68" s="284"/>
      <c r="J68" s="283"/>
      <c r="K68" s="284"/>
      <c r="L68" s="283"/>
      <c r="M68" s="284"/>
      <c r="N68" s="283"/>
      <c r="O68" s="283"/>
      <c r="P68" s="283"/>
      <c r="Q68" s="283"/>
      <c r="R68" s="283"/>
      <c r="S68" s="288"/>
      <c r="T68" s="288"/>
      <c r="U68" s="288"/>
      <c r="V68" s="398">
        <f>IF(V69=0,0,V69)</f>
        <v>1</v>
      </c>
      <c r="W68" s="398"/>
      <c r="X68" s="238"/>
      <c r="Y68" s="238"/>
      <c r="Z68" s="238"/>
      <c r="AA68" s="238"/>
    </row>
    <row r="69" spans="1:27" s="230" customFormat="1" ht="15">
      <c r="A69" s="243" t="s">
        <v>199</v>
      </c>
      <c r="B69" s="235"/>
      <c r="C69" s="284"/>
      <c r="D69" s="283"/>
      <c r="E69" s="284"/>
      <c r="F69" s="283"/>
      <c r="G69" s="284"/>
      <c r="H69" s="283"/>
      <c r="I69" s="284"/>
      <c r="J69" s="283"/>
      <c r="K69" s="284"/>
      <c r="L69" s="283"/>
      <c r="M69" s="284">
        <v>-419</v>
      </c>
      <c r="N69" s="283"/>
      <c r="O69" s="333">
        <f>C69+E69+G69+I69+K69+M69</f>
        <v>-419</v>
      </c>
      <c r="P69" s="339"/>
      <c r="Q69" s="333"/>
      <c r="R69" s="339"/>
      <c r="S69" s="334">
        <f>O69+Q69</f>
        <v>-419</v>
      </c>
      <c r="T69" s="288"/>
      <c r="U69" s="288"/>
      <c r="V69" s="398">
        <f>IF(AND(S69=0,MAX(C69:Q69)=0),0,1)</f>
        <v>1</v>
      </c>
      <c r="W69" s="398"/>
      <c r="X69" s="238"/>
      <c r="Y69" s="238"/>
      <c r="Z69" s="238"/>
      <c r="AA69" s="238"/>
    </row>
    <row r="70" spans="1:27" s="230" customFormat="1" ht="15">
      <c r="A70" s="243"/>
      <c r="B70" s="235"/>
      <c r="C70" s="284"/>
      <c r="D70" s="283"/>
      <c r="E70" s="284"/>
      <c r="F70" s="283"/>
      <c r="G70" s="284"/>
      <c r="H70" s="283"/>
      <c r="I70" s="284"/>
      <c r="J70" s="283"/>
      <c r="K70" s="284"/>
      <c r="L70" s="283"/>
      <c r="M70" s="284"/>
      <c r="N70" s="283"/>
      <c r="O70" s="283"/>
      <c r="P70" s="283"/>
      <c r="Q70" s="283"/>
      <c r="R70" s="283"/>
      <c r="S70" s="288"/>
      <c r="T70" s="288"/>
      <c r="U70" s="288"/>
      <c r="V70" s="398">
        <f>IF(V71=0,0,V71)</f>
        <v>1</v>
      </c>
      <c r="W70" s="398"/>
      <c r="X70" s="238"/>
      <c r="Y70" s="238"/>
      <c r="Z70" s="238"/>
      <c r="AA70" s="238"/>
    </row>
    <row r="71" spans="1:27" s="230" customFormat="1" ht="15">
      <c r="A71" s="234" t="str">
        <f>CONCATENATE("Общ всеобхватен доход за ",YEAR(НАЧАЛО!AA2)," г.")</f>
        <v>Общ всеобхватен доход за 2009 г.</v>
      </c>
      <c r="B71" s="221"/>
      <c r="C71" s="285">
        <f>C57+C69</f>
        <v>0</v>
      </c>
      <c r="D71" s="266"/>
      <c r="E71" s="285">
        <f>E57+E69</f>
        <v>0</v>
      </c>
      <c r="F71" s="286"/>
      <c r="G71" s="285">
        <f>G57+G69</f>
        <v>0</v>
      </c>
      <c r="H71" s="286"/>
      <c r="I71" s="285">
        <f>I57+I69</f>
        <v>0</v>
      </c>
      <c r="J71" s="286"/>
      <c r="K71" s="285">
        <f>K57+K69</f>
        <v>0</v>
      </c>
      <c r="L71" s="286"/>
      <c r="M71" s="285">
        <f>M57+M69</f>
        <v>-419</v>
      </c>
      <c r="N71" s="286"/>
      <c r="O71" s="285">
        <f>O57+O69</f>
        <v>-419</v>
      </c>
      <c r="P71" s="266"/>
      <c r="Q71" s="285">
        <f>Q57+Q69</f>
        <v>0</v>
      </c>
      <c r="R71" s="266"/>
      <c r="S71" s="285">
        <f>S57+S69</f>
        <v>-419</v>
      </c>
      <c r="T71" s="266"/>
      <c r="U71" s="266"/>
      <c r="V71" s="398">
        <f>IF(AND(S71=0,MAX(C71:Q71)=0),0,1)</f>
        <v>1</v>
      </c>
      <c r="W71" s="398"/>
      <c r="X71" s="238"/>
      <c r="Y71" s="238"/>
      <c r="Z71" s="238"/>
      <c r="AA71" s="238"/>
    </row>
    <row r="72" spans="1:27" s="230" customFormat="1" ht="15" hidden="1">
      <c r="A72" s="243"/>
      <c r="B72" s="235"/>
      <c r="C72" s="284"/>
      <c r="D72" s="283"/>
      <c r="E72" s="284"/>
      <c r="F72" s="283"/>
      <c r="G72" s="284"/>
      <c r="H72" s="283"/>
      <c r="I72" s="284"/>
      <c r="J72" s="283"/>
      <c r="K72" s="284"/>
      <c r="L72" s="283"/>
      <c r="M72" s="284"/>
      <c r="N72" s="283"/>
      <c r="O72" s="284"/>
      <c r="P72" s="283"/>
      <c r="Q72" s="284"/>
      <c r="R72" s="283"/>
      <c r="S72" s="289"/>
      <c r="T72" s="288"/>
      <c r="U72" s="288"/>
      <c r="V72" s="398">
        <f>IF(V73=0,0,V73)</f>
        <v>0</v>
      </c>
      <c r="W72" s="398"/>
      <c r="X72" s="238"/>
      <c r="Y72" s="238"/>
      <c r="Z72" s="238"/>
      <c r="AA72" s="238"/>
    </row>
    <row r="73" spans="1:27" s="242" customFormat="1" ht="15" hidden="1">
      <c r="A73" s="243" t="s">
        <v>186</v>
      </c>
      <c r="B73" s="235"/>
      <c r="C73" s="284"/>
      <c r="D73" s="283"/>
      <c r="E73" s="284"/>
      <c r="F73" s="283"/>
      <c r="G73" s="284"/>
      <c r="H73" s="283"/>
      <c r="I73" s="284"/>
      <c r="J73" s="283"/>
      <c r="K73" s="284"/>
      <c r="L73" s="283"/>
      <c r="M73" s="284"/>
      <c r="N73" s="283"/>
      <c r="O73" s="333">
        <f>C73+E73+G73+I73+K73+M73</f>
        <v>0</v>
      </c>
      <c r="P73" s="339"/>
      <c r="Q73" s="284"/>
      <c r="R73" s="339"/>
      <c r="S73" s="289">
        <f>O73+Q73</f>
        <v>0</v>
      </c>
      <c r="T73" s="288"/>
      <c r="U73" s="288"/>
      <c r="V73" s="398">
        <f>IF(AND(S73=0,MAX(C73:Q73)=0),0,1)</f>
        <v>0</v>
      </c>
      <c r="W73" s="398"/>
      <c r="X73" s="241"/>
      <c r="Y73" s="241"/>
      <c r="Z73" s="241"/>
      <c r="AA73" s="241"/>
    </row>
    <row r="74" spans="1:27" s="226" customFormat="1" ht="15" hidden="1">
      <c r="A74" s="243"/>
      <c r="B74" s="235"/>
      <c r="C74" s="284"/>
      <c r="D74" s="283"/>
      <c r="E74" s="284"/>
      <c r="F74" s="283"/>
      <c r="G74" s="284"/>
      <c r="H74" s="283"/>
      <c r="I74" s="284"/>
      <c r="J74" s="283"/>
      <c r="K74" s="284"/>
      <c r="L74" s="283"/>
      <c r="M74" s="284"/>
      <c r="N74" s="283"/>
      <c r="O74" s="284"/>
      <c r="P74" s="283"/>
      <c r="Q74" s="284"/>
      <c r="R74" s="283"/>
      <c r="S74" s="289"/>
      <c r="T74" s="288"/>
      <c r="U74" s="288"/>
      <c r="V74" s="398">
        <f>IF(V75=0,0,V75)</f>
        <v>0</v>
      </c>
      <c r="W74" s="398"/>
      <c r="X74" s="239"/>
      <c r="Y74" s="239"/>
      <c r="Z74" s="239"/>
      <c r="AA74" s="239"/>
    </row>
    <row r="75" spans="1:27" s="226" customFormat="1" ht="15" hidden="1">
      <c r="A75" s="243" t="s">
        <v>187</v>
      </c>
      <c r="B75" s="235"/>
      <c r="C75" s="284"/>
      <c r="D75" s="283"/>
      <c r="E75" s="284"/>
      <c r="F75" s="283"/>
      <c r="G75" s="284"/>
      <c r="H75" s="283"/>
      <c r="I75" s="284"/>
      <c r="J75" s="283"/>
      <c r="K75" s="284"/>
      <c r="L75" s="283"/>
      <c r="M75" s="284"/>
      <c r="N75" s="283"/>
      <c r="O75" s="333">
        <f>C75+E75+G75+I75+K75+M75</f>
        <v>0</v>
      </c>
      <c r="P75" s="339"/>
      <c r="Q75" s="284"/>
      <c r="R75" s="339"/>
      <c r="S75" s="289">
        <f>O75+Q75</f>
        <v>0</v>
      </c>
      <c r="T75" s="288"/>
      <c r="U75" s="288"/>
      <c r="V75" s="398">
        <f>IF(AND(S75=0,MAX(C75:Q75)=0),0,1)</f>
        <v>0</v>
      </c>
      <c r="W75" s="398"/>
      <c r="X75" s="239"/>
      <c r="Y75" s="239"/>
      <c r="Z75" s="239"/>
      <c r="AA75" s="239"/>
    </row>
    <row r="76" spans="1:27" s="226" customFormat="1" ht="15" hidden="1">
      <c r="A76" s="243"/>
      <c r="B76" s="235"/>
      <c r="C76" s="284"/>
      <c r="D76" s="283"/>
      <c r="E76" s="284"/>
      <c r="F76" s="283"/>
      <c r="G76" s="284"/>
      <c r="H76" s="283"/>
      <c r="I76" s="284"/>
      <c r="J76" s="283"/>
      <c r="K76" s="284"/>
      <c r="L76" s="283"/>
      <c r="M76" s="284"/>
      <c r="N76" s="283"/>
      <c r="O76" s="284"/>
      <c r="P76" s="283"/>
      <c r="Q76" s="284"/>
      <c r="R76" s="283"/>
      <c r="S76" s="289"/>
      <c r="T76" s="288"/>
      <c r="U76" s="288"/>
      <c r="V76" s="398">
        <f>IF(V77=0,0,V77)</f>
        <v>0</v>
      </c>
      <c r="W76" s="398"/>
      <c r="X76" s="239"/>
      <c r="Y76" s="239"/>
      <c r="Z76" s="239"/>
      <c r="AA76" s="239"/>
    </row>
    <row r="77" spans="1:27" s="226" customFormat="1" ht="15" hidden="1">
      <c r="A77" s="243" t="s">
        <v>168</v>
      </c>
      <c r="B77" s="235"/>
      <c r="C77" s="284"/>
      <c r="D77" s="283"/>
      <c r="E77" s="284"/>
      <c r="F77" s="283"/>
      <c r="G77" s="284"/>
      <c r="H77" s="283"/>
      <c r="I77" s="284"/>
      <c r="J77" s="283"/>
      <c r="K77" s="284"/>
      <c r="L77" s="283"/>
      <c r="M77" s="284"/>
      <c r="N77" s="283"/>
      <c r="O77" s="333">
        <f>C77+E77+G77+I77+K77+M77</f>
        <v>0</v>
      </c>
      <c r="P77" s="339"/>
      <c r="Q77" s="284"/>
      <c r="R77" s="339"/>
      <c r="S77" s="289">
        <f>O77+Q77</f>
        <v>0</v>
      </c>
      <c r="T77" s="288"/>
      <c r="U77" s="288"/>
      <c r="V77" s="398">
        <f>IF(AND(S77=0,MAX(C77:Q77)=0),0,1)</f>
        <v>0</v>
      </c>
      <c r="W77" s="398"/>
      <c r="X77" s="239"/>
      <c r="Y77" s="239"/>
      <c r="Z77" s="239"/>
      <c r="AA77" s="239"/>
    </row>
    <row r="78" spans="1:27" s="226" customFormat="1" ht="15" hidden="1">
      <c r="A78" s="243"/>
      <c r="B78" s="235"/>
      <c r="C78" s="284"/>
      <c r="D78" s="283"/>
      <c r="E78" s="284"/>
      <c r="F78" s="283"/>
      <c r="G78" s="284"/>
      <c r="H78" s="283"/>
      <c r="I78" s="284"/>
      <c r="J78" s="283"/>
      <c r="K78" s="284"/>
      <c r="L78" s="283"/>
      <c r="M78" s="284"/>
      <c r="N78" s="283"/>
      <c r="O78" s="284"/>
      <c r="P78" s="283"/>
      <c r="Q78" s="284"/>
      <c r="R78" s="283"/>
      <c r="S78" s="289"/>
      <c r="T78" s="288"/>
      <c r="U78" s="288"/>
      <c r="V78" s="398">
        <f>IF(V79=0,0,V79)</f>
        <v>0</v>
      </c>
      <c r="W78" s="398"/>
      <c r="X78" s="239"/>
      <c r="Y78" s="239"/>
      <c r="Z78" s="239"/>
      <c r="AA78" s="239"/>
    </row>
    <row r="79" spans="1:27" s="226" customFormat="1" ht="15" hidden="1">
      <c r="A79" s="243" t="s">
        <v>198</v>
      </c>
      <c r="B79" s="235"/>
      <c r="C79" s="284"/>
      <c r="D79" s="283"/>
      <c r="E79" s="284"/>
      <c r="F79" s="283"/>
      <c r="G79" s="284"/>
      <c r="H79" s="283"/>
      <c r="I79" s="284"/>
      <c r="J79" s="283"/>
      <c r="K79" s="284"/>
      <c r="L79" s="283"/>
      <c r="M79" s="284"/>
      <c r="N79" s="283"/>
      <c r="O79" s="333">
        <f>C79+E79+G79+I79+K79+M79</f>
        <v>0</v>
      </c>
      <c r="P79" s="339"/>
      <c r="Q79" s="284"/>
      <c r="R79" s="339"/>
      <c r="S79" s="289">
        <f>O79+Q79</f>
        <v>0</v>
      </c>
      <c r="T79" s="288"/>
      <c r="U79" s="288"/>
      <c r="V79" s="398">
        <f>IF(AND(S79=0,MAX(C79:Q79)=0),0,1)</f>
        <v>0</v>
      </c>
      <c r="W79" s="398"/>
      <c r="X79" s="239"/>
      <c r="Y79" s="239"/>
      <c r="Z79" s="239"/>
      <c r="AA79" s="239"/>
    </row>
    <row r="80" spans="1:27" s="242" customFormat="1" ht="15" hidden="1">
      <c r="A80" s="243"/>
      <c r="B80" s="235"/>
      <c r="C80" s="284"/>
      <c r="D80" s="283"/>
      <c r="E80" s="284"/>
      <c r="F80" s="283"/>
      <c r="G80" s="284"/>
      <c r="H80" s="283"/>
      <c r="I80" s="284"/>
      <c r="J80" s="283"/>
      <c r="K80" s="284"/>
      <c r="L80" s="283"/>
      <c r="M80" s="284"/>
      <c r="N80" s="283"/>
      <c r="O80" s="284"/>
      <c r="P80" s="283"/>
      <c r="Q80" s="284"/>
      <c r="R80" s="283"/>
      <c r="S80" s="289"/>
      <c r="T80" s="288"/>
      <c r="U80" s="288"/>
      <c r="V80" s="398">
        <f>IF(V81=0,0,V81)</f>
        <v>0</v>
      </c>
      <c r="W80" s="398"/>
      <c r="X80" s="241"/>
      <c r="Y80" s="241"/>
      <c r="Z80" s="241"/>
      <c r="AA80" s="241"/>
    </row>
    <row r="81" spans="1:27" s="242" customFormat="1" ht="15" hidden="1">
      <c r="A81" s="243" t="s">
        <v>200</v>
      </c>
      <c r="B81" s="235"/>
      <c r="C81" s="284"/>
      <c r="D81" s="283"/>
      <c r="E81" s="284"/>
      <c r="F81" s="283"/>
      <c r="G81" s="284"/>
      <c r="H81" s="283"/>
      <c r="I81" s="284"/>
      <c r="J81" s="283"/>
      <c r="K81" s="284"/>
      <c r="L81" s="283"/>
      <c r="M81" s="284"/>
      <c r="N81" s="283"/>
      <c r="O81" s="333">
        <f>C81+E81+G81+I81+K81+M81</f>
        <v>0</v>
      </c>
      <c r="P81" s="339"/>
      <c r="Q81" s="284"/>
      <c r="R81" s="339"/>
      <c r="S81" s="289">
        <f>O81+Q81</f>
        <v>0</v>
      </c>
      <c r="T81" s="288"/>
      <c r="U81" s="288"/>
      <c r="V81" s="398">
        <f>IF(AND(S81=0,MAX(C81:Q81)=0),0,1)</f>
        <v>0</v>
      </c>
      <c r="W81" s="398"/>
      <c r="X81" s="241"/>
      <c r="Y81" s="241"/>
      <c r="Z81" s="241"/>
      <c r="AA81" s="241"/>
    </row>
    <row r="82" spans="1:27" s="242" customFormat="1" ht="15" hidden="1">
      <c r="A82" s="243"/>
      <c r="B82" s="235"/>
      <c r="C82" s="284"/>
      <c r="D82" s="283"/>
      <c r="E82" s="284"/>
      <c r="F82" s="283"/>
      <c r="G82" s="284"/>
      <c r="H82" s="283"/>
      <c r="I82" s="284"/>
      <c r="J82" s="283"/>
      <c r="K82" s="284"/>
      <c r="L82" s="283"/>
      <c r="M82" s="284"/>
      <c r="N82" s="283"/>
      <c r="O82" s="284"/>
      <c r="P82" s="283"/>
      <c r="Q82" s="284"/>
      <c r="R82" s="283"/>
      <c r="S82" s="289"/>
      <c r="T82" s="288"/>
      <c r="U82" s="288"/>
      <c r="V82" s="398">
        <f>IF(V83=0,0,V83)</f>
        <v>0</v>
      </c>
      <c r="W82" s="398"/>
      <c r="X82" s="241"/>
      <c r="Y82" s="241"/>
      <c r="Z82" s="241"/>
      <c r="AA82" s="241"/>
    </row>
    <row r="83" spans="1:27" s="242" customFormat="1" ht="15" hidden="1">
      <c r="A83" s="243" t="s">
        <v>17</v>
      </c>
      <c r="B83" s="235"/>
      <c r="C83" s="284"/>
      <c r="D83" s="283"/>
      <c r="E83" s="284"/>
      <c r="F83" s="283"/>
      <c r="G83" s="284"/>
      <c r="H83" s="283"/>
      <c r="I83" s="284"/>
      <c r="J83" s="283"/>
      <c r="K83" s="284"/>
      <c r="L83" s="283"/>
      <c r="M83" s="284"/>
      <c r="N83" s="283"/>
      <c r="O83" s="333">
        <f>C83+E83+G83+I83+K83+M83</f>
        <v>0</v>
      </c>
      <c r="P83" s="339"/>
      <c r="Q83" s="284"/>
      <c r="R83" s="339"/>
      <c r="S83" s="289">
        <f>O83+Q83</f>
        <v>0</v>
      </c>
      <c r="T83" s="288"/>
      <c r="U83" s="288"/>
      <c r="V83" s="398">
        <f>IF(AND(S83=0,MAX(C83:Q83)=0),0,1)</f>
        <v>0</v>
      </c>
      <c r="W83" s="398"/>
      <c r="X83" s="241"/>
      <c r="Y83" s="241"/>
      <c r="Z83" s="241"/>
      <c r="AA83" s="241"/>
    </row>
    <row r="84" spans="1:27" s="226" customFormat="1" ht="15" hidden="1">
      <c r="A84" s="243"/>
      <c r="B84" s="235"/>
      <c r="C84" s="284"/>
      <c r="D84" s="283"/>
      <c r="E84" s="284"/>
      <c r="F84" s="283"/>
      <c r="G84" s="284"/>
      <c r="H84" s="283"/>
      <c r="I84" s="284"/>
      <c r="J84" s="283"/>
      <c r="K84" s="284"/>
      <c r="L84" s="283"/>
      <c r="M84" s="284"/>
      <c r="N84" s="283"/>
      <c r="O84" s="284"/>
      <c r="P84" s="283"/>
      <c r="Q84" s="284"/>
      <c r="R84" s="283"/>
      <c r="S84" s="289"/>
      <c r="T84" s="288"/>
      <c r="U84" s="288"/>
      <c r="V84" s="398">
        <f>IF(V85=0,0,V85)</f>
        <v>0</v>
      </c>
      <c r="W84" s="401"/>
      <c r="X84" s="239"/>
      <c r="Y84" s="239"/>
      <c r="Z84" s="239"/>
      <c r="AA84" s="239"/>
    </row>
    <row r="85" spans="1:27" s="226" customFormat="1" ht="15" hidden="1">
      <c r="A85" s="243" t="s">
        <v>114</v>
      </c>
      <c r="B85" s="235"/>
      <c r="C85" s="284"/>
      <c r="D85" s="339"/>
      <c r="E85" s="284"/>
      <c r="F85" s="339"/>
      <c r="G85" s="284"/>
      <c r="H85" s="339"/>
      <c r="I85" s="284"/>
      <c r="J85" s="339"/>
      <c r="K85" s="284"/>
      <c r="L85" s="339"/>
      <c r="M85" s="284"/>
      <c r="N85" s="339"/>
      <c r="O85" s="333">
        <f>C85+E85+G85+I85+K85+M85</f>
        <v>0</v>
      </c>
      <c r="P85" s="339"/>
      <c r="Q85" s="284"/>
      <c r="R85" s="339"/>
      <c r="S85" s="289">
        <f>O85+Q85</f>
        <v>0</v>
      </c>
      <c r="T85" s="288"/>
      <c r="U85" s="288"/>
      <c r="V85" s="398">
        <f>IF(AND(S85=0,MAX(C85:Q85)=0),0,1)</f>
        <v>0</v>
      </c>
      <c r="W85" s="399"/>
      <c r="X85" s="239"/>
      <c r="Y85" s="239"/>
      <c r="Z85" s="239"/>
      <c r="AA85" s="239"/>
    </row>
    <row r="86" spans="1:27" s="242" customFormat="1" ht="15" hidden="1">
      <c r="A86" s="243"/>
      <c r="B86" s="235"/>
      <c r="C86" s="284"/>
      <c r="D86" s="283"/>
      <c r="E86" s="284"/>
      <c r="F86" s="283"/>
      <c r="G86" s="284"/>
      <c r="H86" s="283"/>
      <c r="I86" s="284"/>
      <c r="J86" s="283"/>
      <c r="K86" s="284"/>
      <c r="L86" s="283"/>
      <c r="M86" s="284"/>
      <c r="N86" s="283"/>
      <c r="O86" s="284"/>
      <c r="P86" s="283"/>
      <c r="Q86" s="284"/>
      <c r="R86" s="283"/>
      <c r="S86" s="289"/>
      <c r="T86" s="288"/>
      <c r="U86" s="288"/>
      <c r="V86" s="398">
        <f>IF(V87=0,0,V87)</f>
        <v>0</v>
      </c>
      <c r="W86" s="398"/>
      <c r="X86" s="241"/>
      <c r="Y86" s="241"/>
      <c r="Z86" s="241"/>
      <c r="AA86" s="241"/>
    </row>
    <row r="87" spans="1:27" s="226" customFormat="1" ht="15" hidden="1">
      <c r="A87" s="243" t="s">
        <v>89</v>
      </c>
      <c r="B87" s="235"/>
      <c r="C87" s="284"/>
      <c r="D87" s="339"/>
      <c r="E87" s="284"/>
      <c r="F87" s="339"/>
      <c r="G87" s="284"/>
      <c r="H87" s="339"/>
      <c r="I87" s="284"/>
      <c r="J87" s="339"/>
      <c r="K87" s="284"/>
      <c r="L87" s="339"/>
      <c r="M87" s="284"/>
      <c r="N87" s="339"/>
      <c r="O87" s="333">
        <f>C87+E87+G87+I87+K87+M87</f>
        <v>0</v>
      </c>
      <c r="P87" s="339"/>
      <c r="Q87" s="284"/>
      <c r="R87" s="339"/>
      <c r="S87" s="289">
        <f>O87+Q87</f>
        <v>0</v>
      </c>
      <c r="T87" s="288"/>
      <c r="U87" s="288"/>
      <c r="V87" s="398">
        <f>IF(AND(S87=0,MAX(C87:Q87)=0),0,1)</f>
        <v>0</v>
      </c>
      <c r="W87" s="399"/>
      <c r="X87" s="239"/>
      <c r="Y87" s="239"/>
      <c r="Z87" s="239"/>
      <c r="AA87" s="239"/>
    </row>
    <row r="88" spans="1:27" s="242" customFormat="1" ht="15" hidden="1">
      <c r="A88" s="243"/>
      <c r="B88" s="235"/>
      <c r="C88" s="284"/>
      <c r="D88" s="283"/>
      <c r="E88" s="284"/>
      <c r="F88" s="283"/>
      <c r="G88" s="284"/>
      <c r="H88" s="283"/>
      <c r="I88" s="284"/>
      <c r="J88" s="283"/>
      <c r="K88" s="284"/>
      <c r="L88" s="283"/>
      <c r="M88" s="284"/>
      <c r="N88" s="283"/>
      <c r="O88" s="284"/>
      <c r="P88" s="283"/>
      <c r="Q88" s="284"/>
      <c r="R88" s="283"/>
      <c r="S88" s="289"/>
      <c r="T88" s="288"/>
      <c r="U88" s="288"/>
      <c r="V88" s="398">
        <f>IF(V89=0,0,V89)</f>
        <v>0</v>
      </c>
      <c r="W88" s="398"/>
      <c r="X88" s="241"/>
      <c r="Y88" s="241"/>
      <c r="Z88" s="241"/>
      <c r="AA88" s="241"/>
    </row>
    <row r="89" spans="1:27" s="226" customFormat="1" ht="25.5" hidden="1">
      <c r="A89" s="243" t="s">
        <v>126</v>
      </c>
      <c r="B89" s="235"/>
      <c r="C89" s="284"/>
      <c r="D89" s="339"/>
      <c r="E89" s="284"/>
      <c r="F89" s="339"/>
      <c r="G89" s="284"/>
      <c r="H89" s="339"/>
      <c r="I89" s="284"/>
      <c r="J89" s="339"/>
      <c r="K89" s="284"/>
      <c r="L89" s="339"/>
      <c r="M89" s="284"/>
      <c r="N89" s="339"/>
      <c r="O89" s="333">
        <f>C89+E89+G89+I89+K89+M89</f>
        <v>0</v>
      </c>
      <c r="P89" s="339"/>
      <c r="Q89" s="284"/>
      <c r="R89" s="339"/>
      <c r="S89" s="289">
        <f>O89+Q89</f>
        <v>0</v>
      </c>
      <c r="T89" s="288"/>
      <c r="U89" s="288"/>
      <c r="V89" s="398">
        <f>IF(AND(S89=0,MAX(C89:Q89)=0),0,1)</f>
        <v>0</v>
      </c>
      <c r="W89" s="399"/>
      <c r="X89" s="239"/>
      <c r="Y89" s="239"/>
      <c r="Z89" s="239"/>
      <c r="AA89" s="239"/>
    </row>
    <row r="90" spans="1:27" s="242" customFormat="1" ht="15" hidden="1">
      <c r="A90" s="243"/>
      <c r="B90" s="235"/>
      <c r="C90" s="284"/>
      <c r="D90" s="283"/>
      <c r="E90" s="284"/>
      <c r="F90" s="283"/>
      <c r="G90" s="284"/>
      <c r="H90" s="283"/>
      <c r="I90" s="284"/>
      <c r="J90" s="283"/>
      <c r="K90" s="284"/>
      <c r="L90" s="283"/>
      <c r="M90" s="284"/>
      <c r="N90" s="283"/>
      <c r="O90" s="284"/>
      <c r="P90" s="283"/>
      <c r="Q90" s="284"/>
      <c r="R90" s="283"/>
      <c r="S90" s="289"/>
      <c r="T90" s="288"/>
      <c r="U90" s="288"/>
      <c r="V90" s="398">
        <f>IF(V91=0,0,V91)</f>
        <v>0</v>
      </c>
      <c r="W90" s="398"/>
      <c r="X90" s="241"/>
      <c r="Y90" s="241"/>
      <c r="Z90" s="241"/>
      <c r="AA90" s="241"/>
    </row>
    <row r="91" spans="1:27" s="230" customFormat="1" ht="15" hidden="1">
      <c r="A91" s="243" t="s">
        <v>160</v>
      </c>
      <c r="B91" s="235"/>
      <c r="C91" s="284"/>
      <c r="D91" s="283"/>
      <c r="E91" s="284"/>
      <c r="F91" s="283"/>
      <c r="G91" s="284"/>
      <c r="H91" s="283"/>
      <c r="I91" s="284"/>
      <c r="J91" s="283"/>
      <c r="K91" s="284"/>
      <c r="L91" s="283"/>
      <c r="M91" s="284"/>
      <c r="N91" s="283"/>
      <c r="O91" s="333">
        <f>C91+E91+G91+I91+K91+M91</f>
        <v>0</v>
      </c>
      <c r="P91" s="339"/>
      <c r="Q91" s="284"/>
      <c r="R91" s="339"/>
      <c r="S91" s="289">
        <f>O91+Q91</f>
        <v>0</v>
      </c>
      <c r="T91" s="288"/>
      <c r="U91" s="288"/>
      <c r="V91" s="398">
        <f>IF(AND(S91=0,MAX(C91:Q91)=0),0,1)</f>
        <v>0</v>
      </c>
      <c r="W91" s="398"/>
      <c r="X91" s="238"/>
      <c r="Y91" s="238"/>
      <c r="Z91" s="238"/>
      <c r="AA91" s="238"/>
    </row>
    <row r="92" spans="1:27" s="230" customFormat="1" ht="15">
      <c r="A92" s="244"/>
      <c r="B92" s="244"/>
      <c r="C92" s="224"/>
      <c r="D92" s="236"/>
      <c r="E92" s="224"/>
      <c r="F92" s="236"/>
      <c r="G92" s="224"/>
      <c r="H92" s="236"/>
      <c r="I92" s="224"/>
      <c r="J92" s="236"/>
      <c r="K92" s="224"/>
      <c r="L92" s="236"/>
      <c r="M92" s="224"/>
      <c r="N92" s="236"/>
      <c r="O92" s="284"/>
      <c r="P92" s="283"/>
      <c r="Q92" s="284"/>
      <c r="R92" s="283"/>
      <c r="S92" s="289"/>
      <c r="T92" s="288"/>
      <c r="U92" s="288"/>
      <c r="V92" s="398">
        <f>IF(V93=0,0,V93)</f>
        <v>2</v>
      </c>
      <c r="W92" s="398"/>
      <c r="X92" s="238"/>
      <c r="Y92" s="238"/>
      <c r="Z92" s="238"/>
      <c r="AA92" s="238"/>
    </row>
    <row r="93" spans="1:27" s="230" customFormat="1" ht="15.75" thickBot="1">
      <c r="A93" s="227" t="str">
        <f>CONCATENATE("Остатък към ",НАЧАЛО!AA1,".",НАЧАЛО!AB1,".",НАЧАЛО!AC1," г.")</f>
        <v>Остатък към 31.12.2009 г.</v>
      </c>
      <c r="B93" s="221"/>
      <c r="C93" s="268">
        <f>IF($V53=2,C53+C55,C51+C55)</f>
        <v>58363</v>
      </c>
      <c r="D93" s="266"/>
      <c r="E93" s="268">
        <f>IF($V53=2,E53+E55,E51+E55)</f>
        <v>10072</v>
      </c>
      <c r="F93" s="266"/>
      <c r="G93" s="268">
        <f>IF($V53=2,G53+G55,G51+G55)</f>
        <v>0</v>
      </c>
      <c r="H93" s="266"/>
      <c r="I93" s="268">
        <f>IF($V53=2,I53+I55,I51+I55)</f>
        <v>0</v>
      </c>
      <c r="J93" s="267"/>
      <c r="K93" s="268">
        <f>IF($V53=2,K53+K55,K51+K55)</f>
        <v>0</v>
      </c>
      <c r="L93" s="266"/>
      <c r="M93" s="268">
        <f>IF($V53=2,M53+M55,M51+M55)</f>
        <v>-3916</v>
      </c>
      <c r="N93" s="266"/>
      <c r="O93" s="268">
        <f>IF($V53=2,O53+O55,O51+O55)</f>
        <v>64519</v>
      </c>
      <c r="P93" s="266"/>
      <c r="Q93" s="268">
        <f>IF($V53=2,Q53+Q55,Q51+Q55)</f>
        <v>0</v>
      </c>
      <c r="R93" s="266"/>
      <c r="S93" s="268">
        <f>IF($V53=2,S53+S55,S51+S55)</f>
        <v>64519</v>
      </c>
      <c r="T93" s="267"/>
      <c r="U93" s="267"/>
      <c r="V93" s="398">
        <v>2</v>
      </c>
      <c r="W93" s="398"/>
      <c r="X93" s="238"/>
      <c r="Y93" s="238"/>
      <c r="Z93" s="238"/>
      <c r="AA93" s="238"/>
    </row>
    <row r="94" spans="1:27" s="230" customFormat="1" ht="15">
      <c r="A94" s="384"/>
      <c r="B94" s="385"/>
      <c r="C94" s="386"/>
      <c r="D94" s="387"/>
      <c r="E94" s="386"/>
      <c r="F94" s="387"/>
      <c r="G94" s="386"/>
      <c r="H94" s="387"/>
      <c r="I94" s="386"/>
      <c r="J94" s="386"/>
      <c r="K94" s="386"/>
      <c r="L94" s="387"/>
      <c r="M94" s="386"/>
      <c r="N94" s="387"/>
      <c r="O94" s="386"/>
      <c r="P94" s="387"/>
      <c r="Q94" s="386"/>
      <c r="R94" s="387"/>
      <c r="S94" s="386"/>
      <c r="T94" s="267"/>
      <c r="U94" s="267"/>
      <c r="V94" s="398">
        <v>2</v>
      </c>
      <c r="W94" s="403"/>
      <c r="X94" s="238"/>
      <c r="Y94" s="238"/>
      <c r="Z94" s="238"/>
      <c r="AA94" s="238"/>
    </row>
    <row r="95" spans="1:27" s="230" customFormat="1" ht="15">
      <c r="A95" s="350" t="s">
        <v>94</v>
      </c>
      <c r="B95" s="385"/>
      <c r="C95" s="386"/>
      <c r="D95" s="387"/>
      <c r="E95" s="386"/>
      <c r="F95" s="387"/>
      <c r="G95" s="386"/>
      <c r="H95" s="387"/>
      <c r="I95" s="386"/>
      <c r="J95" s="386"/>
      <c r="K95" s="386"/>
      <c r="L95" s="387"/>
      <c r="M95" s="386"/>
      <c r="N95" s="387"/>
      <c r="O95" s="386"/>
      <c r="P95" s="387"/>
      <c r="Q95" s="386"/>
      <c r="R95" s="387"/>
      <c r="S95" s="386"/>
      <c r="T95" s="267"/>
      <c r="U95" s="267"/>
      <c r="V95" s="398">
        <v>2</v>
      </c>
      <c r="W95" s="403">
        <f>COUNTA(D7:D51,N7:N51,H7:H51,J7:J51,L7:L51,P7:P51,R7:R51,W7:W51)</f>
        <v>0</v>
      </c>
      <c r="X95" s="238"/>
      <c r="Y95" s="238"/>
      <c r="Z95" s="238"/>
      <c r="AA95" s="238"/>
    </row>
    <row r="96" spans="1:27" s="230" customFormat="1" ht="15">
      <c r="A96" s="7">
        <f>IF(AND(C96="",E96="",I96="",O96="",K96="",M96="",Q96="",S96=""),"","Разлика в перата между СК и БАЛАНСА!")</f>
      </c>
      <c r="B96" s="9"/>
      <c r="C96" s="8">
        <f>IF(СК!C$93=баланс!F$55,"",СК!C$93-баланс!F$55)</f>
      </c>
      <c r="D96" s="8"/>
      <c r="E96" s="8">
        <f>IF(СК!E$93=баланс!F$60,"",СК!E$93-баланс!F$60)</f>
      </c>
      <c r="F96" s="381"/>
      <c r="G96" s="9">
        <f>IF(СК!G$93=баланс!F$62,"",СК!G$93-баланс!F$62)</f>
      </c>
      <c r="H96" s="381"/>
      <c r="I96" s="9">
        <f>IF(СК!I$93=баланс!F$64,"",СК!I$93-баланс!F$64)</f>
      </c>
      <c r="J96" s="9"/>
      <c r="K96" s="9">
        <f>IF(СК!K$93=баланс!F$66,"",СК!K$93-баланс!F$66)</f>
      </c>
      <c r="L96" s="8"/>
      <c r="M96" s="8">
        <f>IF(СК!M$93=баланс!F$68,"",СК!M93-баланс!F$68)</f>
      </c>
      <c r="N96" s="9"/>
      <c r="O96" s="8">
        <f>IF(СК!O$93=баланс!F$72,"",СК!O93-баланс!F$72)</f>
      </c>
      <c r="P96" s="8"/>
      <c r="Q96" s="8">
        <f>IF(СК!Q$93=баланс!F$74,"",СК!Q93-баланс!F$74)</f>
      </c>
      <c r="R96" s="8"/>
      <c r="S96" s="8">
        <f>IF(СК!S$93=баланс!F$76,"",СК!S93-баланс!F$76)</f>
      </c>
      <c r="T96" s="266"/>
      <c r="U96" s="266"/>
      <c r="V96" s="398">
        <v>2</v>
      </c>
      <c r="W96" s="403"/>
      <c r="X96" s="238"/>
      <c r="Y96" s="238"/>
      <c r="Z96" s="238"/>
      <c r="AA96" s="238"/>
    </row>
    <row r="97" spans="1:27" s="226" customFormat="1" ht="15">
      <c r="A97" s="290" t="str">
        <f>ОД!A71</f>
        <v>Приложенията от страница 7 до страница 45 са неразделна част от финансовия отчет.</v>
      </c>
      <c r="B97" s="290"/>
      <c r="C97" s="290"/>
      <c r="D97" s="290"/>
      <c r="E97" s="290"/>
      <c r="F97" s="290"/>
      <c r="G97" s="290"/>
      <c r="H97" s="290"/>
      <c r="I97" s="290"/>
      <c r="J97" s="290"/>
      <c r="K97" s="290"/>
      <c r="L97" s="290"/>
      <c r="M97" s="290"/>
      <c r="N97" s="290"/>
      <c r="O97" s="290"/>
      <c r="P97" s="290"/>
      <c r="Q97" s="290"/>
      <c r="R97" s="290"/>
      <c r="S97" s="290"/>
      <c r="T97" s="414"/>
      <c r="U97" s="414"/>
      <c r="V97" s="398">
        <v>2</v>
      </c>
      <c r="W97" s="403"/>
      <c r="X97" s="239"/>
      <c r="Y97" s="239"/>
      <c r="Z97" s="239"/>
      <c r="AA97" s="239"/>
    </row>
    <row r="98" spans="1:27" s="226" customFormat="1" ht="15">
      <c r="A98" s="10">
        <f>IF(AND(C98="",E98="",I98="",O98="",K98="",M98="",Q98="",S98=""),"",CONCATENATE("Стойности в БАЛАНСА към ",НАЧАЛО!AA1,".",НАЧАЛО!AB1,".",НАЧАЛО!AC1))</f>
      </c>
      <c r="B98" s="246"/>
      <c r="C98" s="10">
        <f>IF(СК!C$93=баланс!F$55,"",баланс!F$55)</f>
      </c>
      <c r="D98" s="11"/>
      <c r="E98" s="10">
        <f>IF(СК!E$93=баланс!F$60,"",баланс!F$60)</f>
      </c>
      <c r="F98" s="383"/>
      <c r="G98" s="12">
        <f>IF(СК!G$93=баланс!F$62,"",баланс!F$62)</f>
      </c>
      <c r="H98" s="383"/>
      <c r="I98" s="12">
        <f>IF(СК!I$93=баланс!F$64,"",баланс!F$64)</f>
      </c>
      <c r="J98" s="12"/>
      <c r="K98" s="12">
        <f>IF(СК!K$93=баланс!F$66,"",баланс!F$66)</f>
      </c>
      <c r="L98" s="11"/>
      <c r="M98" s="10">
        <f>IF(СК!M$93=баланс!F$68,"",баланс!F$68)</f>
      </c>
      <c r="N98" s="12"/>
      <c r="O98" s="10">
        <f>IF(СК!O$93=баланс!F$72,"",баланс!F$72)</f>
      </c>
      <c r="P98" s="11"/>
      <c r="Q98" s="10">
        <f>IF(СК!Q$93=баланс!F$74,"",баланс!F$74)</f>
      </c>
      <c r="R98" s="11"/>
      <c r="S98" s="10">
        <f>IF(СК!S$93=баланс!F$76,"",баланс!F$76)</f>
      </c>
      <c r="T98" s="266"/>
      <c r="U98" s="266"/>
      <c r="V98" s="398">
        <v>2</v>
      </c>
      <c r="W98" s="403" t="s">
        <v>88</v>
      </c>
      <c r="X98" s="239"/>
      <c r="Y98" s="239"/>
      <c r="Z98" s="239"/>
      <c r="AA98" s="239"/>
    </row>
    <row r="99" spans="1:27" s="226" customFormat="1" ht="15">
      <c r="A99" s="92" t="str">
        <f>НАЧАЛО!$A$44</f>
        <v>Представляващ:</v>
      </c>
      <c r="B99" s="4"/>
      <c r="C99" s="5"/>
      <c r="D99" s="5"/>
      <c r="E99" s="5"/>
      <c r="F99" s="5"/>
      <c r="G99" s="5"/>
      <c r="H99" s="5"/>
      <c r="I99" s="5"/>
      <c r="J99" s="5"/>
      <c r="K99" s="5"/>
      <c r="L99" s="5"/>
      <c r="M99" s="5"/>
      <c r="N99" s="5"/>
      <c r="O99" s="5"/>
      <c r="P99" s="5"/>
      <c r="Q99" s="5"/>
      <c r="R99" s="5"/>
      <c r="S99" s="5"/>
      <c r="T99" s="415"/>
      <c r="U99" s="415"/>
      <c r="V99" s="398">
        <v>2</v>
      </c>
      <c r="W99" s="403"/>
      <c r="X99" s="239"/>
      <c r="Y99" s="239"/>
      <c r="Z99" s="239"/>
      <c r="AA99" s="239"/>
    </row>
    <row r="100" spans="1:27" ht="15">
      <c r="A100" s="96" t="str">
        <f>НАЧАЛО!$A$46</f>
        <v>Явор Хайтов                          Красимир Сланчев</v>
      </c>
      <c r="B100" s="154"/>
      <c r="C100" s="6"/>
      <c r="D100" s="6"/>
      <c r="E100" s="6"/>
      <c r="F100" s="6"/>
      <c r="G100" s="6"/>
      <c r="H100" s="6"/>
      <c r="I100" s="6"/>
      <c r="J100" s="6"/>
      <c r="K100" s="6"/>
      <c r="L100" s="6"/>
      <c r="M100" s="6"/>
      <c r="N100" s="6"/>
      <c r="O100" s="6"/>
      <c r="P100" s="6"/>
      <c r="Q100" s="6"/>
      <c r="R100" s="6"/>
      <c r="S100" s="6"/>
      <c r="T100" s="416"/>
      <c r="U100" s="416"/>
      <c r="V100" s="398">
        <v>2</v>
      </c>
      <c r="W100" s="403"/>
      <c r="X100" s="245"/>
      <c r="Y100" s="245"/>
      <c r="Z100" s="245"/>
      <c r="AA100" s="245"/>
    </row>
    <row r="101" spans="1:27" ht="15">
      <c r="A101" s="98"/>
      <c r="B101" s="247"/>
      <c r="C101" s="6"/>
      <c r="D101" s="6"/>
      <c r="E101" s="6"/>
      <c r="F101" s="6"/>
      <c r="G101" s="6"/>
      <c r="H101" s="6"/>
      <c r="I101" s="6"/>
      <c r="J101" s="6"/>
      <c r="K101" s="6"/>
      <c r="L101" s="6"/>
      <c r="M101" s="6"/>
      <c r="N101" s="6"/>
      <c r="O101" s="6"/>
      <c r="P101" s="6"/>
      <c r="Q101" s="6"/>
      <c r="R101" s="6"/>
      <c r="S101" s="6"/>
      <c r="T101" s="416"/>
      <c r="U101" s="416"/>
      <c r="V101" s="398">
        <v>2</v>
      </c>
      <c r="W101" s="403"/>
      <c r="X101" s="245"/>
      <c r="Y101" s="245"/>
      <c r="Z101" s="245"/>
      <c r="AA101" s="245"/>
    </row>
    <row r="102" spans="1:27" ht="15">
      <c r="A102" s="97" t="str">
        <f>НАЧАЛО!$F$44</f>
        <v>Съставител:</v>
      </c>
      <c r="B102" s="154"/>
      <c r="C102" s="6"/>
      <c r="D102" s="6"/>
      <c r="E102" s="6"/>
      <c r="F102" s="6"/>
      <c r="G102" s="6"/>
      <c r="H102" s="6"/>
      <c r="I102" s="6"/>
      <c r="J102" s="6"/>
      <c r="K102" s="6"/>
      <c r="L102" s="6"/>
      <c r="M102" s="6"/>
      <c r="N102" s="6"/>
      <c r="O102" s="6"/>
      <c r="P102" s="6"/>
      <c r="Q102" s="6"/>
      <c r="R102" s="6"/>
      <c r="S102" s="6"/>
      <c r="T102" s="416"/>
      <c r="U102" s="416"/>
      <c r="V102" s="398">
        <v>2</v>
      </c>
      <c r="W102" s="403"/>
      <c r="X102" s="245"/>
      <c r="Y102" s="245"/>
      <c r="Z102" s="245"/>
      <c r="AA102" s="245"/>
    </row>
    <row r="103" spans="1:27" ht="15">
      <c r="A103" s="100" t="str">
        <f>НАЧАЛО!$F$46</f>
        <v>Боряна Машова</v>
      </c>
      <c r="B103" s="247"/>
      <c r="C103" s="6"/>
      <c r="D103" s="6"/>
      <c r="E103" s="6"/>
      <c r="F103" s="6"/>
      <c r="G103" s="6"/>
      <c r="H103" s="6"/>
      <c r="I103" s="6"/>
      <c r="J103" s="6"/>
      <c r="K103" s="6"/>
      <c r="L103" s="6"/>
      <c r="M103" s="6"/>
      <c r="N103" s="6"/>
      <c r="O103" s="6"/>
      <c r="P103" s="6"/>
      <c r="Q103" s="6"/>
      <c r="R103" s="6"/>
      <c r="S103" s="6"/>
      <c r="T103" s="416"/>
      <c r="U103" s="416"/>
      <c r="V103" s="398">
        <v>2</v>
      </c>
      <c r="W103" s="403"/>
      <c r="X103" s="245"/>
      <c r="Y103" s="245"/>
      <c r="Z103" s="245"/>
      <c r="AA103" s="245"/>
    </row>
    <row r="104" spans="1:27" ht="15">
      <c r="A104" s="97"/>
      <c r="B104" s="247"/>
      <c r="C104" s="6"/>
      <c r="D104" s="6"/>
      <c r="E104" s="6"/>
      <c r="F104" s="6"/>
      <c r="G104" s="6"/>
      <c r="H104" s="6"/>
      <c r="I104" s="6"/>
      <c r="J104" s="6"/>
      <c r="K104" s="6"/>
      <c r="L104" s="6"/>
      <c r="M104" s="6"/>
      <c r="N104" s="6"/>
      <c r="O104" s="6"/>
      <c r="P104" s="6"/>
      <c r="Q104" s="6"/>
      <c r="R104" s="6"/>
      <c r="S104" s="6"/>
      <c r="T104" s="416"/>
      <c r="U104" s="416"/>
      <c r="V104" s="398">
        <v>2</v>
      </c>
      <c r="W104" s="403"/>
      <c r="X104" s="245"/>
      <c r="Y104" s="245"/>
      <c r="Z104" s="245"/>
      <c r="AA104" s="245"/>
    </row>
    <row r="105" spans="1:27" ht="15">
      <c r="A105" s="100" t="str">
        <f>НАЧАЛО!$C$49</f>
        <v>Заверил:</v>
      </c>
      <c r="B105" s="248"/>
      <c r="C105" s="6"/>
      <c r="D105" s="6"/>
      <c r="E105" s="6"/>
      <c r="F105" s="6"/>
      <c r="G105" s="6"/>
      <c r="H105" s="6"/>
      <c r="I105" s="6"/>
      <c r="J105" s="6"/>
      <c r="K105" s="6"/>
      <c r="L105" s="6"/>
      <c r="M105" s="6"/>
      <c r="N105" s="6"/>
      <c r="O105" s="6"/>
      <c r="P105" s="6"/>
      <c r="Q105" s="6"/>
      <c r="R105" s="6"/>
      <c r="S105" s="6"/>
      <c r="T105" s="416"/>
      <c r="U105" s="416"/>
      <c r="V105" s="398">
        <v>2</v>
      </c>
      <c r="W105" s="403"/>
      <c r="X105" s="245"/>
      <c r="Y105" s="245"/>
      <c r="Z105" s="245"/>
      <c r="AA105" s="245"/>
    </row>
    <row r="106" spans="1:27" ht="15">
      <c r="A106" s="96" t="str">
        <f>НАЧАЛО!$C$51</f>
        <v>СОП „Ейч Ел Би България” ООД</v>
      </c>
      <c r="B106" s="247"/>
      <c r="C106" s="6"/>
      <c r="D106" s="6"/>
      <c r="E106" s="6"/>
      <c r="F106" s="6"/>
      <c r="G106" s="6"/>
      <c r="H106" s="6"/>
      <c r="I106" s="6"/>
      <c r="J106" s="6"/>
      <c r="K106" s="6"/>
      <c r="L106" s="6"/>
      <c r="M106" s="6"/>
      <c r="N106" s="6"/>
      <c r="O106" s="6"/>
      <c r="P106" s="6"/>
      <c r="Q106" s="6"/>
      <c r="R106" s="6"/>
      <c r="S106" s="6"/>
      <c r="T106" s="416"/>
      <c r="U106" s="416"/>
      <c r="V106" s="398">
        <v>2</v>
      </c>
      <c r="W106" s="403"/>
      <c r="X106" s="245"/>
      <c r="Y106" s="245"/>
      <c r="Z106" s="245"/>
      <c r="AA106" s="245"/>
    </row>
    <row r="107" spans="1:23" ht="18.75">
      <c r="A107" s="102"/>
      <c r="B107" s="249"/>
      <c r="C107" s="6"/>
      <c r="D107" s="6"/>
      <c r="E107" s="6"/>
      <c r="F107" s="6"/>
      <c r="G107" s="6"/>
      <c r="H107" s="6"/>
      <c r="I107" s="6"/>
      <c r="J107" s="6"/>
      <c r="K107" s="6"/>
      <c r="L107" s="6"/>
      <c r="M107" s="6"/>
      <c r="N107" s="6"/>
      <c r="O107" s="6"/>
      <c r="P107" s="6"/>
      <c r="Q107" s="6"/>
      <c r="R107" s="6"/>
      <c r="S107" s="6"/>
      <c r="T107" s="416"/>
      <c r="U107" s="416"/>
      <c r="V107" s="410">
        <v>2</v>
      </c>
      <c r="W107" s="404"/>
    </row>
    <row r="108" spans="1:23" ht="15">
      <c r="A108" s="96" t="str">
        <f>НАЧАЛО!$C$57</f>
        <v>София, 29 януари 2010 г.</v>
      </c>
      <c r="B108" s="248"/>
      <c r="C108" s="6"/>
      <c r="D108" s="6"/>
      <c r="E108" s="6"/>
      <c r="F108" s="6"/>
      <c r="G108" s="6"/>
      <c r="H108" s="6"/>
      <c r="I108" s="6"/>
      <c r="J108" s="6"/>
      <c r="K108" s="6"/>
      <c r="L108" s="6"/>
      <c r="M108" s="6"/>
      <c r="N108" s="6"/>
      <c r="O108" s="6"/>
      <c r="P108" s="6"/>
      <c r="Q108" s="6"/>
      <c r="R108" s="6"/>
      <c r="S108" s="6"/>
      <c r="T108" s="416"/>
      <c r="U108" s="416"/>
      <c r="V108" s="410">
        <v>2</v>
      </c>
      <c r="W108" s="404"/>
    </row>
    <row r="109" spans="1:29" ht="15" hidden="1">
      <c r="A109" s="398">
        <v>2</v>
      </c>
      <c r="B109" s="398">
        <f>IF(C109=0,0,C109)</f>
        <v>1</v>
      </c>
      <c r="C109" s="398">
        <f>IF(AND(C93=0,MAX(C7:C11)=0,MAX(C13:C51)=0,MAX(C55:C93)=0),0,1)</f>
        <v>1</v>
      </c>
      <c r="D109" s="398">
        <f>IF(E109=0,0,E109)</f>
        <v>1</v>
      </c>
      <c r="E109" s="398">
        <f>IF(AND(E93=0,MAX(E7:E11)=0,MAX(E13:E51)=0,MAX(E55:E93)=0),0,1)</f>
        <v>1</v>
      </c>
      <c r="F109" s="398">
        <f>IF(G109=0,0,G109)</f>
        <v>0</v>
      </c>
      <c r="G109" s="398">
        <f>IF(AND(G93=0,MAX(G7:G11)=0,MAX(G13:G51)=0,MAX(G55:G93)=0),0,1)</f>
        <v>0</v>
      </c>
      <c r="H109" s="398">
        <f>IF(I109=0,0,I109)</f>
        <v>0</v>
      </c>
      <c r="I109" s="398">
        <f>IF(AND(I93=0,MAX(I7:I11)=0,MAX(I13:I51)=0,MAX(I55:I93)=0),0,1)</f>
        <v>0</v>
      </c>
      <c r="J109" s="398">
        <f>IF(K109=0,0,K109)</f>
        <v>0</v>
      </c>
      <c r="K109" s="398">
        <f>IF(AND(K93=0,MAX(K7:K11)=0,MAX(K13:K51)=0,MAX(K55:K93)=0),0,1)</f>
        <v>0</v>
      </c>
      <c r="L109" s="398">
        <f>IF(M109=0,0,M109)</f>
        <v>1</v>
      </c>
      <c r="M109" s="398">
        <f>IF(AND(M93=0,MAX(M7:M11)=0,MAX(M13:M51)=0,MAX(M55:M93)=0),0,1)</f>
        <v>1</v>
      </c>
      <c r="N109" s="398">
        <f>IF(O109=0,0,O109)</f>
        <v>4</v>
      </c>
      <c r="O109" s="398">
        <f>IF(НАЧАЛО!M34="КК",IF(AND(O93=0,MAX(O7:O11)=0,MAX(O13:O51)=0,MAX(O55:O93)=0),0,1),4)</f>
        <v>4</v>
      </c>
      <c r="P109" s="398">
        <f>IF(Q109=0,0,Q109)</f>
        <v>4</v>
      </c>
      <c r="Q109" s="398">
        <f>IF(НАЧАЛО!O34="КК",IF(AND(Q93=0,MAX(Q7:Q11)=0,MAX(Q13:Q51)=0,MAX(Q55:Q93)=0),0,1),4)</f>
        <v>4</v>
      </c>
      <c r="R109" s="398">
        <f>IF(S109=0,0,S109)</f>
        <v>2</v>
      </c>
      <c r="S109" s="398">
        <v>2</v>
      </c>
      <c r="T109" s="398">
        <v>4</v>
      </c>
      <c r="U109" s="398">
        <v>4</v>
      </c>
      <c r="V109" s="398">
        <v>4</v>
      </c>
      <c r="W109" s="398">
        <v>2</v>
      </c>
      <c r="X109" s="398">
        <v>2</v>
      </c>
      <c r="Y109" s="398">
        <v>2</v>
      </c>
      <c r="Z109" s="398">
        <v>2</v>
      </c>
      <c r="AA109" s="398">
        <v>2</v>
      </c>
      <c r="AB109" s="398">
        <v>2</v>
      </c>
      <c r="AC109" s="398">
        <v>2</v>
      </c>
    </row>
    <row r="110" spans="1:29" ht="15" hidden="1">
      <c r="A110" s="396"/>
      <c r="B110" s="396"/>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row>
  </sheetData>
  <sheetProtection password="DC9E" sheet="1" objects="1" formatColumns="0" formatRows="0" insertRows="0"/>
  <conditionalFormatting sqref="W84:W85 D50:D59 W57 D26 D28:D30 D32 D34 D36 D38 D40 D48 D42 W53:W54 A53:U54 A58:U58 W87 W89 A60:U108 D1:D6 D8 D10 D12 D14 A15:U25 W7:W51 A44:U47 A1:C59 E1:U59 F1:G108">
    <cfRule type="expression" priority="16" dxfId="0" stopIfTrue="1">
      <formula>JJ51&lt;&gt;JK51</formula>
    </cfRule>
    <cfRule type="expression" priority="17" dxfId="0" stopIfTrue="1">
      <formula>JJ52&gt;JK52</formula>
    </cfRule>
  </conditionalFormatting>
  <conditionalFormatting sqref="A97">
    <cfRule type="expression" priority="13" dxfId="15" stopIfTrue="1">
      <formula>JJ61=JK61</formula>
    </cfRule>
  </conditionalFormatting>
  <conditionalFormatting sqref="A95">
    <cfRule type="expression" priority="11" dxfId="0" stopIfTrue="1">
      <formula>JJ21&lt;&gt;JK21</formula>
    </cfRule>
    <cfRule type="expression" priority="12" dxfId="0" stopIfTrue="1">
      <formula>JJ22&gt;JK22</formula>
    </cfRule>
  </conditionalFormatting>
  <conditionalFormatting sqref="A95">
    <cfRule type="expression" priority="7" dxfId="0" stopIfTrue="1">
      <formula>JJ31&lt;&gt;JK31</formula>
    </cfRule>
    <cfRule type="expression" priority="8" dxfId="0" stopIfTrue="1">
      <formula>JJ32&gt;JK32</formula>
    </cfRule>
  </conditionalFormatting>
  <conditionalFormatting sqref="A53:U53">
    <cfRule type="expression" priority="1" dxfId="9" stopIfTrue="1">
      <formula>$V$53=0</formula>
    </cfRule>
  </conditionalFormatting>
  <conditionalFormatting sqref="A95">
    <cfRule type="expression" priority="6" dxfId="92" stopIfTrue="1">
      <formula>W95&gt;0</formula>
    </cfRule>
  </conditionalFormatting>
  <dataValidations count="3">
    <dataValidation type="list" allowBlank="1" showInputMessage="1" showErrorMessage="1" sqref="P85 N55 D55 H55 J55 L55 P55 R55 J45 L45 N45 R45 P45 W45 W47 D47 H47 J47 L47 N47 R47 P47 W43 D15 H15 J15 L15 R15:R25 D87 H87 J87 L87 N87 R87 P87 N57 D45 P69 P73 P75 P77 P79 P81 P91 H45 N39 R69 R73 R75 R77 R79 R81 P83 R91 R83 N37 N35 N33 N31 N27 W87 N13 N11 N9 N7 N15 D7 N43 D43 H43 J43 L43 P43 W41 D11 D13 D27 D31 D33 D35 D37 D39 D9 D49 D41 H7 H9 H11 H13 H27 H31 H33 H35 H37 H39 H49 J7 J9 J11 J13">
      <formula1>$W$97:$W$98</formula1>
    </dataValidation>
    <dataValidation type="list" allowBlank="1" showInputMessage="1" showErrorMessage="1" sqref="J27 J31 J33 J35 J37 J39 H41 J49 L7 L9 L11 L13 L27 L31 L33 L35 L37 L39 J41 L49 P7 P9 P11 P13 P27 P31 P33 P35 P37 P39 L41 P49 R7 R9 R11 R13 P15:P25 R27 R31 R33 R35 R37 R39 P41 R49 W7 W9 W11 W13 W15:W25 W27 W31 W33 W35 W37 W39 R41 W49 W85 D85 H85 J85 L85 N85 R43 D57 H57 J57 L57 N41 N49 W57 R85 R57:R67 P57:P67 W89 D89 H89 J89 L89 N89 R89 P89 F55 F47 F15 F87 F45 F43 F7 F9 F11 F13 F27 F31 F33 F35 F37 F39 F49">
      <formula1>$W$97:$W$98</formula1>
    </dataValidation>
    <dataValidation type="list" allowBlank="1" showInputMessage="1" showErrorMessage="1" sqref="F41 F85 F57 F89">
      <formula1>$W$97:$W$98</formula1>
    </dataValidation>
  </dataValidations>
  <printOptions horizontalCentered="1"/>
  <pageMargins left="0.5905511811023623" right="0.1968503937007874" top="0.4724409448818898" bottom="0.7086614173228347" header="0.3937007874015748" footer="0.7874015748031497"/>
  <pageSetup firstPageNumber="1" useFirstPageNumber="1" fitToHeight="2" horizontalDpi="600" verticalDpi="600" orientation="portrait" paperSize="9" scale="89" r:id="rId2"/>
  <colBreaks count="1" manualBreakCount="1">
    <brk id="21" max="65535" man="1"/>
  </colBreaks>
  <legacyDrawing r:id="rId1"/>
</worksheet>
</file>

<file path=xl/worksheets/sheet7.xml><?xml version="1.0" encoding="utf-8"?>
<worksheet xmlns="http://schemas.openxmlformats.org/spreadsheetml/2006/main" xmlns:r="http://schemas.openxmlformats.org/officeDocument/2006/relationships">
  <sheetPr codeName="Sheet18"/>
  <dimension ref="A1:IT66"/>
  <sheetViews>
    <sheetView zoomScalePageLayoutView="0" workbookViewId="0" topLeftCell="A1">
      <selection activeCell="A4" sqref="A4"/>
    </sheetView>
  </sheetViews>
  <sheetFormatPr defaultColWidth="0" defaultRowHeight="12.75"/>
  <cols>
    <col min="1" max="1" width="50.7109375" style="109" customWidth="1"/>
    <col min="2" max="2" width="1.7109375" style="109" customWidth="1"/>
    <col min="3" max="3" width="10.140625" style="117" bestFit="1" customWidth="1"/>
    <col min="4" max="4" width="1.7109375" style="117" hidden="1" customWidth="1"/>
    <col min="5" max="5" width="1.7109375" style="117" customWidth="1"/>
    <col min="6" max="6" width="12.7109375" style="118" customWidth="1"/>
    <col min="7" max="7" width="1.7109375" style="109" hidden="1" customWidth="1"/>
    <col min="8" max="8" width="1.7109375" style="109" customWidth="1"/>
    <col min="9" max="9" width="12.7109375" style="118" customWidth="1"/>
    <col min="10" max="10" width="1.7109375" style="118" hidden="1" customWidth="1"/>
    <col min="11" max="14" width="9.140625" style="164" hidden="1" customWidth="1"/>
    <col min="15" max="15" width="1.7109375" style="118" customWidth="1"/>
    <col min="16" max="17" width="9.140625" style="164" customWidth="1"/>
    <col min="18" max="18" width="50.7109375" style="109" customWidth="1"/>
    <col min="19" max="19" width="1.7109375" style="109" customWidth="1"/>
    <col min="20" max="20" width="10.140625" style="117" bestFit="1" customWidth="1"/>
    <col min="21" max="21" width="1.7109375" style="117" hidden="1" customWidth="1"/>
    <col min="22" max="22" width="1.7109375" style="117" customWidth="1"/>
    <col min="23" max="23" width="12.7109375" style="118" customWidth="1"/>
    <col min="24" max="24" width="1.7109375" style="109" hidden="1" customWidth="1"/>
    <col min="25" max="25" width="1.7109375" style="109" customWidth="1"/>
    <col min="26" max="26" width="12.7109375" style="118" customWidth="1"/>
    <col min="27" max="27" width="1.7109375" style="109" customWidth="1"/>
    <col min="28" max="253" width="9.140625" style="164" customWidth="1"/>
    <col min="254" max="16384" width="0" style="164" hidden="1" customWidth="1"/>
  </cols>
  <sheetData>
    <row r="1" spans="1:254" ht="15">
      <c r="A1" s="296" t="str">
        <f>НАЧАЛО!B3</f>
        <v>ЖЕЛЕЗОПЪТНА ИНФРАСТРУКТУРА ХОЛДИНГОВО ДРУЖЕСТВО АД</v>
      </c>
      <c r="B1" s="296"/>
      <c r="C1" s="297"/>
      <c r="D1" s="297"/>
      <c r="E1" s="297"/>
      <c r="F1" s="297"/>
      <c r="G1" s="297"/>
      <c r="H1" s="297"/>
      <c r="I1" s="297"/>
      <c r="J1" s="75"/>
      <c r="O1" s="75"/>
      <c r="R1" s="296">
        <f>НАЧАЛО!T3</f>
        <v>0</v>
      </c>
      <c r="S1" s="296"/>
      <c r="T1" s="297"/>
      <c r="U1" s="297"/>
      <c r="V1" s="297"/>
      <c r="W1" s="297"/>
      <c r="X1" s="297"/>
      <c r="Y1" s="297"/>
      <c r="Z1" s="297"/>
      <c r="AA1" s="297"/>
      <c r="IT1" s="312">
        <v>1</v>
      </c>
    </row>
    <row r="2" spans="1:254" ht="15">
      <c r="A2" s="298" t="str">
        <f>CONCATENATE("ОТЧЕТ ЗА ДОХОДИТЕ ",НАЧАЛО!AA3,НАЧАЛО!AD1," година")</f>
        <v>ОТЧЕТ ЗА ДОХОДИТЕ за 2009 година</v>
      </c>
      <c r="B2" s="298"/>
      <c r="C2" s="299"/>
      <c r="D2" s="299"/>
      <c r="E2" s="299"/>
      <c r="F2" s="299"/>
      <c r="G2" s="299"/>
      <c r="H2" s="299"/>
      <c r="I2" s="299"/>
      <c r="J2" s="270"/>
      <c r="O2" s="270"/>
      <c r="R2" s="298" t="str">
        <f>CONCATENATE("ОТЧЕТ ЗА ДОХОДИТЕ ",НАЧАЛО!AS3,НАЧАЛО!AV1," година")</f>
        <v>ОТЧЕТ ЗА ДОХОДИТЕ  година</v>
      </c>
      <c r="S2" s="298"/>
      <c r="T2" s="299"/>
      <c r="U2" s="299"/>
      <c r="V2" s="299"/>
      <c r="W2" s="299"/>
      <c r="X2" s="299"/>
      <c r="Y2" s="299"/>
      <c r="Z2" s="299"/>
      <c r="AA2" s="299"/>
      <c r="IT2" s="312"/>
    </row>
    <row r="3" spans="1:254" ht="15.75">
      <c r="A3" s="121"/>
      <c r="B3" s="121"/>
      <c r="C3" s="122"/>
      <c r="D3" s="122"/>
      <c r="E3" s="122"/>
      <c r="F3" s="123"/>
      <c r="G3" s="124"/>
      <c r="H3" s="124"/>
      <c r="I3" s="123"/>
      <c r="J3" s="271"/>
      <c r="O3" s="271"/>
      <c r="R3" s="121"/>
      <c r="S3" s="121"/>
      <c r="T3" s="122"/>
      <c r="U3" s="122"/>
      <c r="V3" s="122"/>
      <c r="W3" s="123"/>
      <c r="X3" s="124"/>
      <c r="Y3" s="124"/>
      <c r="Z3" s="123"/>
      <c r="AA3" s="124"/>
      <c r="IT3" s="312"/>
    </row>
    <row r="4" spans="1:254" ht="15">
      <c r="A4" s="125"/>
      <c r="B4" s="125"/>
      <c r="C4" s="125"/>
      <c r="D4" s="125"/>
      <c r="E4" s="125"/>
      <c r="F4" s="111" t="str">
        <f>НАЧАЛО!AD1&amp;" г."</f>
        <v>2009 г.</v>
      </c>
      <c r="G4" s="126"/>
      <c r="H4" s="126"/>
      <c r="I4" s="111" t="str">
        <f>НАЧАЛО!AF1&amp;" г."</f>
        <v>2008 г.</v>
      </c>
      <c r="J4" s="272"/>
      <c r="O4" s="272"/>
      <c r="R4" s="125"/>
      <c r="S4" s="125"/>
      <c r="T4" s="125"/>
      <c r="U4" s="125"/>
      <c r="V4" s="125"/>
      <c r="W4" s="111" t="str">
        <f>НАЧАЛО!AV1&amp;" г."</f>
        <v> г.</v>
      </c>
      <c r="X4" s="126"/>
      <c r="Y4" s="126"/>
      <c r="Z4" s="111" t="str">
        <f>НАЧАЛО!AX1&amp;" г."</f>
        <v> г.</v>
      </c>
      <c r="AA4" s="126"/>
      <c r="IT4" s="312"/>
    </row>
    <row r="5" spans="1:254" ht="15">
      <c r="A5" s="125"/>
      <c r="B5" s="125"/>
      <c r="C5" s="127" t="s">
        <v>131</v>
      </c>
      <c r="D5" s="127"/>
      <c r="E5" s="127"/>
      <c r="F5" s="126" t="s">
        <v>141</v>
      </c>
      <c r="G5" s="46"/>
      <c r="H5" s="46"/>
      <c r="I5" s="126" t="s">
        <v>141</v>
      </c>
      <c r="J5" s="273"/>
      <c r="O5" s="273"/>
      <c r="R5" s="125"/>
      <c r="S5" s="125"/>
      <c r="T5" s="127" t="s">
        <v>131</v>
      </c>
      <c r="U5" s="127"/>
      <c r="V5" s="127"/>
      <c r="W5" s="126" t="s">
        <v>141</v>
      </c>
      <c r="X5" s="46"/>
      <c r="Y5" s="46"/>
      <c r="Z5" s="126" t="s">
        <v>141</v>
      </c>
      <c r="AA5" s="46"/>
      <c r="IT5" s="312"/>
    </row>
    <row r="6" spans="1:254" ht="15.75">
      <c r="A6" s="66" t="s">
        <v>170</v>
      </c>
      <c r="B6" s="66"/>
      <c r="C6" s="127"/>
      <c r="D6" s="127"/>
      <c r="E6" s="127"/>
      <c r="F6" s="128"/>
      <c r="G6" s="129"/>
      <c r="H6" s="129"/>
      <c r="I6" s="128"/>
      <c r="J6" s="274"/>
      <c r="O6" s="274"/>
      <c r="R6" s="66" t="s">
        <v>170</v>
      </c>
      <c r="S6" s="66"/>
      <c r="T6" s="127"/>
      <c r="U6" s="127"/>
      <c r="V6" s="127"/>
      <c r="W6" s="128"/>
      <c r="X6" s="129"/>
      <c r="Y6" s="129"/>
      <c r="Z6" s="128"/>
      <c r="AA6" s="129"/>
      <c r="IT6" s="312"/>
    </row>
    <row r="7" spans="1:254" ht="12.75">
      <c r="A7" s="125"/>
      <c r="B7" s="125"/>
      <c r="C7" s="130"/>
      <c r="D7" s="130"/>
      <c r="E7" s="130"/>
      <c r="F7" s="128"/>
      <c r="G7" s="129"/>
      <c r="H7" s="129"/>
      <c r="I7" s="128"/>
      <c r="J7" s="274"/>
      <c r="O7" s="274"/>
      <c r="R7" s="125"/>
      <c r="S7" s="125"/>
      <c r="T7" s="130"/>
      <c r="U7" s="130"/>
      <c r="V7" s="130"/>
      <c r="W7" s="128"/>
      <c r="X7" s="129"/>
      <c r="Y7" s="129"/>
      <c r="Z7" s="128"/>
      <c r="AA7" s="129"/>
      <c r="IT7" s="312"/>
    </row>
    <row r="8" spans="1:254" ht="15">
      <c r="A8" s="131" t="s">
        <v>179</v>
      </c>
      <c r="B8" s="70"/>
      <c r="C8" s="159" t="str">
        <f>IF(AND(F8=0,I8=0),"",CONCATENATE("2.1.",D8,"."))</f>
        <v>2.1.1.</v>
      </c>
      <c r="D8" s="105">
        <f>IF(AND(F8=0,I8=0),0,MAX(D$7:D7)+1)</f>
        <v>1</v>
      </c>
      <c r="E8" s="105"/>
      <c r="F8" s="133">
        <f>SUM(F9:F12)</f>
        <v>4</v>
      </c>
      <c r="G8" s="134"/>
      <c r="H8" s="134"/>
      <c r="I8" s="133">
        <f>SUM(I9:I12)</f>
        <v>0</v>
      </c>
      <c r="J8" s="275"/>
      <c r="O8" s="275"/>
      <c r="R8" s="131" t="s">
        <v>179</v>
      </c>
      <c r="S8" s="70"/>
      <c r="T8" s="159" t="str">
        <f>IF(AND(W8=0,Z8=0),"",CONCATENATE("2.1.",U8,"."))</f>
        <v>2.1.1.</v>
      </c>
      <c r="U8" s="105">
        <f>IF(AND(W8=0,Z8=0),0,MAX(U$7:U7)+1)</f>
        <v>1</v>
      </c>
      <c r="V8" s="105"/>
      <c r="W8" s="133">
        <f>SUM(W9:W12)</f>
        <v>4</v>
      </c>
      <c r="X8" s="134"/>
      <c r="Y8" s="134"/>
      <c r="Z8" s="133">
        <f>SUM(Z9:Z12)</f>
        <v>0</v>
      </c>
      <c r="AA8" s="134"/>
      <c r="IT8" s="312"/>
    </row>
    <row r="9" spans="1:254" ht="15">
      <c r="A9" s="59" t="s">
        <v>171</v>
      </c>
      <c r="B9" s="59"/>
      <c r="C9" s="52"/>
      <c r="D9" s="107"/>
      <c r="E9" s="107"/>
      <c r="F9" s="114">
        <v>1</v>
      </c>
      <c r="G9" s="113"/>
      <c r="H9" s="113"/>
      <c r="I9" s="114"/>
      <c r="J9" s="276"/>
      <c r="O9" s="276"/>
      <c r="R9" s="59" t="s">
        <v>171</v>
      </c>
      <c r="S9" s="59"/>
      <c r="T9" s="52"/>
      <c r="U9" s="107"/>
      <c r="V9" s="107"/>
      <c r="W9" s="114">
        <v>1</v>
      </c>
      <c r="X9" s="113"/>
      <c r="Y9" s="113"/>
      <c r="Z9" s="114"/>
      <c r="AA9" s="113"/>
      <c r="IT9" s="312"/>
    </row>
    <row r="10" spans="1:254" ht="15">
      <c r="A10" s="59" t="s">
        <v>172</v>
      </c>
      <c r="B10" s="59"/>
      <c r="C10" s="52"/>
      <c r="D10" s="107"/>
      <c r="E10" s="107"/>
      <c r="F10" s="114">
        <v>1</v>
      </c>
      <c r="G10" s="113"/>
      <c r="H10" s="113"/>
      <c r="I10" s="114"/>
      <c r="J10" s="276"/>
      <c r="O10" s="276"/>
      <c r="R10" s="59" t="s">
        <v>172</v>
      </c>
      <c r="S10" s="59"/>
      <c r="T10" s="52"/>
      <c r="U10" s="107"/>
      <c r="V10" s="107"/>
      <c r="W10" s="114">
        <v>1</v>
      </c>
      <c r="X10" s="113"/>
      <c r="Y10" s="113"/>
      <c r="Z10" s="114"/>
      <c r="AA10" s="113"/>
      <c r="IT10" s="312">
        <v>5</v>
      </c>
    </row>
    <row r="11" spans="1:254" ht="15">
      <c r="A11" s="59" t="s">
        <v>173</v>
      </c>
      <c r="B11" s="59"/>
      <c r="C11" s="52"/>
      <c r="D11" s="107"/>
      <c r="E11" s="107"/>
      <c r="F11" s="114">
        <v>1</v>
      </c>
      <c r="G11" s="113"/>
      <c r="H11" s="113"/>
      <c r="I11" s="114"/>
      <c r="J11" s="276"/>
      <c r="O11" s="276"/>
      <c r="R11" s="59" t="s">
        <v>173</v>
      </c>
      <c r="S11" s="59"/>
      <c r="T11" s="52"/>
      <c r="U11" s="107"/>
      <c r="V11" s="107"/>
      <c r="W11" s="114">
        <v>1</v>
      </c>
      <c r="X11" s="113"/>
      <c r="Y11" s="113"/>
      <c r="Z11" s="114"/>
      <c r="AA11" s="113"/>
      <c r="IT11" s="312"/>
    </row>
    <row r="12" spans="1:27" ht="15">
      <c r="A12" s="59" t="s">
        <v>157</v>
      </c>
      <c r="B12" s="59"/>
      <c r="C12" s="52"/>
      <c r="D12" s="107"/>
      <c r="E12" s="107"/>
      <c r="F12" s="114">
        <v>1</v>
      </c>
      <c r="G12" s="115"/>
      <c r="H12" s="115"/>
      <c r="I12" s="114"/>
      <c r="J12" s="276"/>
      <c r="O12" s="276"/>
      <c r="R12" s="59" t="s">
        <v>157</v>
      </c>
      <c r="S12" s="59"/>
      <c r="T12" s="52"/>
      <c r="U12" s="107"/>
      <c r="V12" s="107"/>
      <c r="W12" s="114">
        <v>1</v>
      </c>
      <c r="X12" s="115"/>
      <c r="Y12" s="115"/>
      <c r="Z12" s="114"/>
      <c r="AA12" s="115"/>
    </row>
    <row r="13" spans="1:27" ht="15">
      <c r="A13" s="70"/>
      <c r="B13" s="70"/>
      <c r="C13" s="136"/>
      <c r="D13" s="137"/>
      <c r="E13" s="137"/>
      <c r="F13" s="135"/>
      <c r="G13" s="135"/>
      <c r="H13" s="135"/>
      <c r="I13" s="135"/>
      <c r="J13" s="277"/>
      <c r="O13" s="277"/>
      <c r="R13" s="70"/>
      <c r="S13" s="70"/>
      <c r="T13" s="136"/>
      <c r="U13" s="137"/>
      <c r="V13" s="137"/>
      <c r="W13" s="135"/>
      <c r="X13" s="135"/>
      <c r="Y13" s="135"/>
      <c r="Z13" s="135"/>
      <c r="AA13" s="135"/>
    </row>
    <row r="14" spans="1:27" ht="15">
      <c r="A14" s="131" t="s">
        <v>189</v>
      </c>
      <c r="B14" s="70"/>
      <c r="C14" s="159" t="str">
        <f>IF(AND(F14=0,I14=0),"",CONCATENATE("2.1.",D14,"."))</f>
        <v>2.1.2.</v>
      </c>
      <c r="D14" s="105">
        <f>IF(AND(F14=0,I14=0),0,MAX(D$7:D13)+1)</f>
        <v>2</v>
      </c>
      <c r="E14" s="105"/>
      <c r="F14" s="112">
        <v>1</v>
      </c>
      <c r="G14" s="114"/>
      <c r="H14" s="114"/>
      <c r="I14" s="112"/>
      <c r="J14" s="278"/>
      <c r="O14" s="278"/>
      <c r="R14" s="131" t="s">
        <v>189</v>
      </c>
      <c r="S14" s="70"/>
      <c r="T14" s="159" t="str">
        <f>IF(AND(W14=0,Z14=0),"",CONCATENATE("2.1.",U14,"."))</f>
        <v>2.1.2.</v>
      </c>
      <c r="U14" s="105">
        <f>IF(AND(W14=0,Z14=0),0,MAX(U$7:U13)+1)</f>
        <v>2</v>
      </c>
      <c r="V14" s="105"/>
      <c r="W14" s="112">
        <v>1</v>
      </c>
      <c r="X14" s="114"/>
      <c r="Y14" s="114"/>
      <c r="Z14" s="112"/>
      <c r="AA14" s="114"/>
    </row>
    <row r="15" spans="1:27" ht="15">
      <c r="A15" s="70"/>
      <c r="B15" s="70"/>
      <c r="C15" s="52"/>
      <c r="D15" s="107"/>
      <c r="E15" s="107"/>
      <c r="F15" s="138"/>
      <c r="G15" s="139"/>
      <c r="H15" s="139"/>
      <c r="I15" s="138"/>
      <c r="J15" s="275"/>
      <c r="O15" s="275"/>
      <c r="R15" s="70"/>
      <c r="S15" s="70"/>
      <c r="T15" s="52"/>
      <c r="U15" s="107"/>
      <c r="V15" s="107"/>
      <c r="W15" s="138"/>
      <c r="X15" s="139"/>
      <c r="Y15" s="139"/>
      <c r="Z15" s="138"/>
      <c r="AA15" s="139"/>
    </row>
    <row r="16" spans="1:27" ht="15">
      <c r="A16" s="131" t="s">
        <v>178</v>
      </c>
      <c r="B16" s="70"/>
      <c r="C16" s="159" t="str">
        <f>IF(AND(F16=0,I16=0),"",CONCATENATE("2.1.",D16,"."))</f>
        <v>2.1.3.</v>
      </c>
      <c r="D16" s="105">
        <f>IF(AND(F16=0,I16=0),0,MAX(D$7:D15)+1)</f>
        <v>3</v>
      </c>
      <c r="E16" s="105"/>
      <c r="F16" s="112">
        <v>1</v>
      </c>
      <c r="G16" s="114"/>
      <c r="H16" s="114"/>
      <c r="I16" s="112"/>
      <c r="J16" s="278"/>
      <c r="O16" s="278"/>
      <c r="R16" s="131" t="s">
        <v>178</v>
      </c>
      <c r="S16" s="70"/>
      <c r="T16" s="159" t="str">
        <f>IF(AND(W16=0,Z16=0),"",CONCATENATE("2.1.",U16,"."))</f>
        <v>2.1.3.</v>
      </c>
      <c r="U16" s="105">
        <f>IF(AND(W16=0,Z16=0),0,MAX(U$7:U15)+1)</f>
        <v>3</v>
      </c>
      <c r="V16" s="105"/>
      <c r="W16" s="112">
        <v>1</v>
      </c>
      <c r="X16" s="114"/>
      <c r="Y16" s="114"/>
      <c r="Z16" s="112"/>
      <c r="AA16" s="114"/>
    </row>
    <row r="17" spans="1:27" ht="15">
      <c r="A17" s="70"/>
      <c r="B17" s="70"/>
      <c r="C17" s="52"/>
      <c r="D17" s="107"/>
      <c r="E17" s="107"/>
      <c r="F17" s="138"/>
      <c r="G17" s="139"/>
      <c r="H17" s="139"/>
      <c r="I17" s="138"/>
      <c r="J17" s="275"/>
      <c r="O17" s="275"/>
      <c r="R17" s="70"/>
      <c r="S17" s="70"/>
      <c r="T17" s="52"/>
      <c r="U17" s="107"/>
      <c r="V17" s="107"/>
      <c r="W17" s="138"/>
      <c r="X17" s="139"/>
      <c r="Y17" s="139"/>
      <c r="Z17" s="138"/>
      <c r="AA17" s="139"/>
    </row>
    <row r="18" spans="1:27" ht="15.75" thickBot="1">
      <c r="A18" s="140" t="s">
        <v>169</v>
      </c>
      <c r="B18" s="46"/>
      <c r="C18" s="141"/>
      <c r="D18" s="107"/>
      <c r="E18" s="107"/>
      <c r="F18" s="142">
        <f>F8+F14+F16</f>
        <v>6</v>
      </c>
      <c r="G18" s="143"/>
      <c r="H18" s="143"/>
      <c r="I18" s="142">
        <f>I8+I14+I16</f>
        <v>0</v>
      </c>
      <c r="J18" s="275"/>
      <c r="O18" s="275"/>
      <c r="R18" s="140" t="s">
        <v>169</v>
      </c>
      <c r="S18" s="46"/>
      <c r="T18" s="141"/>
      <c r="U18" s="107"/>
      <c r="V18" s="107"/>
      <c r="W18" s="142">
        <f>W8+W14+W16</f>
        <v>6</v>
      </c>
      <c r="X18" s="143"/>
      <c r="Y18" s="143"/>
      <c r="Z18" s="142">
        <f>Z8+Z14+Z16</f>
        <v>0</v>
      </c>
      <c r="AA18" s="143"/>
    </row>
    <row r="19" spans="1:27" ht="15.75" thickTop="1">
      <c r="A19" s="59"/>
      <c r="B19" s="59"/>
      <c r="C19" s="52"/>
      <c r="D19" s="107"/>
      <c r="E19" s="107"/>
      <c r="F19" s="135"/>
      <c r="G19" s="54"/>
      <c r="H19" s="54"/>
      <c r="I19" s="135"/>
      <c r="J19" s="277"/>
      <c r="O19" s="277"/>
      <c r="R19" s="59"/>
      <c r="S19" s="59"/>
      <c r="T19" s="52"/>
      <c r="U19" s="107"/>
      <c r="V19" s="107"/>
      <c r="W19" s="135"/>
      <c r="X19" s="54"/>
      <c r="Y19" s="54"/>
      <c r="Z19" s="135"/>
      <c r="AA19" s="54"/>
    </row>
    <row r="20" spans="1:27" ht="15.75">
      <c r="A20" s="66" t="s">
        <v>174</v>
      </c>
      <c r="B20" s="46"/>
      <c r="C20" s="52"/>
      <c r="D20" s="107"/>
      <c r="E20" s="107"/>
      <c r="F20" s="135"/>
      <c r="G20" s="52"/>
      <c r="H20" s="52"/>
      <c r="I20" s="135"/>
      <c r="J20" s="277"/>
      <c r="O20" s="277"/>
      <c r="R20" s="66" t="s">
        <v>174</v>
      </c>
      <c r="S20" s="46"/>
      <c r="T20" s="52"/>
      <c r="U20" s="107"/>
      <c r="V20" s="107"/>
      <c r="W20" s="135"/>
      <c r="X20" s="52"/>
      <c r="Y20" s="52"/>
      <c r="Z20" s="135"/>
      <c r="AA20" s="52"/>
    </row>
    <row r="21" spans="1:27" ht="12.75">
      <c r="A21" s="125"/>
      <c r="B21" s="125"/>
      <c r="C21" s="130"/>
      <c r="D21" s="130"/>
      <c r="E21" s="130"/>
      <c r="F21" s="128"/>
      <c r="G21" s="129"/>
      <c r="H21" s="129"/>
      <c r="I21" s="128"/>
      <c r="J21" s="274"/>
      <c r="O21" s="274"/>
      <c r="R21" s="125"/>
      <c r="S21" s="125"/>
      <c r="T21" s="130"/>
      <c r="U21" s="130"/>
      <c r="V21" s="130"/>
      <c r="W21" s="128"/>
      <c r="X21" s="129"/>
      <c r="Y21" s="129"/>
      <c r="Z21" s="128"/>
      <c r="AA21" s="129"/>
    </row>
    <row r="22" spans="1:27" ht="15">
      <c r="A22" s="131" t="s">
        <v>142</v>
      </c>
      <c r="B22" s="70"/>
      <c r="C22" s="120"/>
      <c r="D22" s="107"/>
      <c r="E22" s="107"/>
      <c r="F22" s="133">
        <f>SUM(F23:F28)</f>
        <v>-4</v>
      </c>
      <c r="G22" s="52"/>
      <c r="H22" s="52"/>
      <c r="I22" s="133">
        <f>SUM(I23:I28)</f>
        <v>0</v>
      </c>
      <c r="J22" s="275"/>
      <c r="O22" s="275"/>
      <c r="R22" s="131" t="s">
        <v>142</v>
      </c>
      <c r="S22" s="70"/>
      <c r="T22" s="120"/>
      <c r="U22" s="107"/>
      <c r="V22" s="107"/>
      <c r="W22" s="133">
        <f>SUM(W23:W28)</f>
        <v>-4</v>
      </c>
      <c r="X22" s="52"/>
      <c r="Y22" s="52"/>
      <c r="Z22" s="133">
        <f>SUM(Z23:Z28)</f>
        <v>0</v>
      </c>
      <c r="AA22" s="52"/>
    </row>
    <row r="23" spans="1:27" ht="15">
      <c r="A23" s="59" t="s">
        <v>165</v>
      </c>
      <c r="B23" s="59"/>
      <c r="C23" s="103">
        <f aca="true" t="shared" si="0" ref="C23:C28">IF(AND(F23=0,I23=0),"",CONCATENATE("2.2.",D23,"."))</f>
      </c>
      <c r="D23" s="105">
        <f>IF(AND(F23=0,I23=0),0,MAX(D$22:D22)+1)</f>
        <v>0</v>
      </c>
      <c r="E23" s="105"/>
      <c r="F23" s="114"/>
      <c r="G23" s="113"/>
      <c r="H23" s="113"/>
      <c r="I23" s="114"/>
      <c r="J23" s="276"/>
      <c r="O23" s="276"/>
      <c r="R23" s="59" t="s">
        <v>165</v>
      </c>
      <c r="S23" s="59"/>
      <c r="T23" s="103">
        <f aca="true" t="shared" si="1" ref="T23:T28">IF(AND(W23=0,Z23=0),"",CONCATENATE("2.2.",U23,"."))</f>
      </c>
      <c r="U23" s="105">
        <f>IF(AND(W23=0,Z23=0),0,MAX(U$22:U22)+1)</f>
        <v>0</v>
      </c>
      <c r="V23" s="105"/>
      <c r="W23" s="114"/>
      <c r="X23" s="113"/>
      <c r="Y23" s="113"/>
      <c r="Z23" s="114"/>
      <c r="AA23" s="113"/>
    </row>
    <row r="24" spans="1:27" ht="15">
      <c r="A24" s="59" t="s">
        <v>132</v>
      </c>
      <c r="B24" s="59"/>
      <c r="C24" s="103" t="str">
        <f t="shared" si="0"/>
        <v>2.2.1.</v>
      </c>
      <c r="D24" s="105">
        <f>IF(AND(F24=0,I24=0),0,MAX(D$22:D23)+1)</f>
        <v>1</v>
      </c>
      <c r="E24" s="105"/>
      <c r="F24" s="114">
        <v>-1</v>
      </c>
      <c r="G24" s="113"/>
      <c r="H24" s="113"/>
      <c r="I24" s="114"/>
      <c r="J24" s="276"/>
      <c r="O24" s="276"/>
      <c r="R24" s="59" t="s">
        <v>132</v>
      </c>
      <c r="S24" s="59"/>
      <c r="T24" s="103" t="str">
        <f t="shared" si="1"/>
        <v>2.2.1.</v>
      </c>
      <c r="U24" s="105">
        <f>IF(AND(W24=0,Z24=0),0,MAX(U$22:U23)+1)</f>
        <v>1</v>
      </c>
      <c r="V24" s="105"/>
      <c r="W24" s="114">
        <v>-1</v>
      </c>
      <c r="X24" s="113"/>
      <c r="Y24" s="113"/>
      <c r="Z24" s="114"/>
      <c r="AA24" s="113"/>
    </row>
    <row r="25" spans="1:27" ht="15">
      <c r="A25" s="59" t="s">
        <v>133</v>
      </c>
      <c r="B25" s="59"/>
      <c r="C25" s="103" t="str">
        <f t="shared" si="0"/>
        <v>2.2.2.</v>
      </c>
      <c r="D25" s="105">
        <f>IF(AND(F25=0,I25=0),0,MAX(D$22:D24)+1)</f>
        <v>2</v>
      </c>
      <c r="E25" s="105"/>
      <c r="F25" s="114">
        <v>-2</v>
      </c>
      <c r="G25" s="113"/>
      <c r="H25" s="113"/>
      <c r="I25" s="114"/>
      <c r="J25" s="276"/>
      <c r="O25" s="276"/>
      <c r="R25" s="59" t="s">
        <v>133</v>
      </c>
      <c r="S25" s="59"/>
      <c r="T25" s="103" t="str">
        <f t="shared" si="1"/>
        <v>2.2.2.</v>
      </c>
      <c r="U25" s="105">
        <f>IF(AND(W25=0,Z25=0),0,MAX(U$22:U24)+1)</f>
        <v>2</v>
      </c>
      <c r="V25" s="105"/>
      <c r="W25" s="114">
        <v>-2</v>
      </c>
      <c r="X25" s="113"/>
      <c r="Y25" s="113"/>
      <c r="Z25" s="114"/>
      <c r="AA25" s="113"/>
    </row>
    <row r="26" spans="1:27" ht="15">
      <c r="A26" s="59" t="s">
        <v>201</v>
      </c>
      <c r="B26" s="59"/>
      <c r="C26" s="103">
        <f t="shared" si="0"/>
      </c>
      <c r="D26" s="105">
        <f>IF(AND(F26=0,I26=0),0,MAX(D$22:D25)+1)</f>
        <v>0</v>
      </c>
      <c r="E26" s="105"/>
      <c r="F26" s="114"/>
      <c r="G26" s="113"/>
      <c r="H26" s="113"/>
      <c r="I26" s="114"/>
      <c r="J26" s="276"/>
      <c r="O26" s="276"/>
      <c r="R26" s="59" t="s">
        <v>201</v>
      </c>
      <c r="S26" s="59"/>
      <c r="T26" s="103">
        <f t="shared" si="1"/>
      </c>
      <c r="U26" s="105">
        <f>IF(AND(W26=0,Z26=0),0,MAX(U$22:U25)+1)</f>
        <v>0</v>
      </c>
      <c r="V26" s="105"/>
      <c r="W26" s="114"/>
      <c r="X26" s="113"/>
      <c r="Y26" s="113"/>
      <c r="Z26" s="114"/>
      <c r="AA26" s="113"/>
    </row>
    <row r="27" spans="1:27" ht="15">
      <c r="A27" s="59" t="s">
        <v>175</v>
      </c>
      <c r="B27" s="59"/>
      <c r="C27" s="103">
        <f t="shared" si="0"/>
      </c>
      <c r="D27" s="105">
        <f>IF(AND(F27=0,I27=0),0,MAX(D$22:D26)+1)</f>
        <v>0</v>
      </c>
      <c r="E27" s="105"/>
      <c r="F27" s="114"/>
      <c r="G27" s="113"/>
      <c r="H27" s="113"/>
      <c r="I27" s="114"/>
      <c r="J27" s="276"/>
      <c r="O27" s="276"/>
      <c r="R27" s="59" t="s">
        <v>175</v>
      </c>
      <c r="S27" s="59"/>
      <c r="T27" s="103">
        <f t="shared" si="1"/>
      </c>
      <c r="U27" s="105">
        <f>IF(AND(W27=0,Z27=0),0,MAX(U$22:U26)+1)</f>
        <v>0</v>
      </c>
      <c r="V27" s="105"/>
      <c r="W27" s="114"/>
      <c r="X27" s="113"/>
      <c r="Y27" s="113"/>
      <c r="Z27" s="114"/>
      <c r="AA27" s="113"/>
    </row>
    <row r="28" spans="1:27" ht="15">
      <c r="A28" s="59" t="s">
        <v>134</v>
      </c>
      <c r="B28" s="59"/>
      <c r="C28" s="103" t="str">
        <f t="shared" si="0"/>
        <v>2.2.3.</v>
      </c>
      <c r="D28" s="105">
        <f>IF(AND(F28=0,I28=0),0,MAX(D$22:D27)+1)</f>
        <v>3</v>
      </c>
      <c r="E28" s="105"/>
      <c r="F28" s="114">
        <v>-1</v>
      </c>
      <c r="G28" s="113"/>
      <c r="H28" s="113"/>
      <c r="I28" s="114"/>
      <c r="J28" s="276"/>
      <c r="O28" s="276"/>
      <c r="R28" s="59" t="s">
        <v>134</v>
      </c>
      <c r="S28" s="59"/>
      <c r="T28" s="103" t="str">
        <f t="shared" si="1"/>
        <v>2.2.3.</v>
      </c>
      <c r="U28" s="105">
        <f>IF(AND(W28=0,Z28=0),0,MAX(U$22:U27)+1)</f>
        <v>3</v>
      </c>
      <c r="V28" s="105"/>
      <c r="W28" s="114">
        <v>-1</v>
      </c>
      <c r="X28" s="113"/>
      <c r="Y28" s="113"/>
      <c r="Z28" s="114"/>
      <c r="AA28" s="113"/>
    </row>
    <row r="29" spans="1:27" ht="15">
      <c r="A29" s="59"/>
      <c r="B29" s="59"/>
      <c r="C29" s="57"/>
      <c r="D29" s="106"/>
      <c r="E29" s="106"/>
      <c r="F29" s="135"/>
      <c r="G29" s="52"/>
      <c r="H29" s="52"/>
      <c r="I29" s="135"/>
      <c r="J29" s="277"/>
      <c r="O29" s="277"/>
      <c r="R29" s="59"/>
      <c r="S29" s="59"/>
      <c r="T29" s="57"/>
      <c r="U29" s="106"/>
      <c r="V29" s="106"/>
      <c r="W29" s="135"/>
      <c r="X29" s="52"/>
      <c r="Y29" s="52"/>
      <c r="Z29" s="135"/>
      <c r="AA29" s="52"/>
    </row>
    <row r="30" spans="1:27" ht="15">
      <c r="A30" s="131" t="s">
        <v>143</v>
      </c>
      <c r="B30" s="70"/>
      <c r="C30" s="159" t="str">
        <f>IF(AND(F30=0,I30=0),"",CONCATENATE("2.2.",D30,"."))</f>
        <v>2.2.4.</v>
      </c>
      <c r="D30" s="105">
        <f>IF(AND(F30=0,I30=0),0,MAX(D$22:D29)+1)</f>
        <v>4</v>
      </c>
      <c r="E30" s="105"/>
      <c r="F30" s="133">
        <f>SUM(F31:F34)</f>
        <v>3</v>
      </c>
      <c r="G30" s="52"/>
      <c r="H30" s="52"/>
      <c r="I30" s="133">
        <f>SUM(I31:I34)</f>
        <v>0</v>
      </c>
      <c r="J30" s="275"/>
      <c r="O30" s="275"/>
      <c r="R30" s="131" t="s">
        <v>143</v>
      </c>
      <c r="S30" s="70"/>
      <c r="T30" s="159" t="str">
        <f>IF(AND(W30=0,Z30=0),"",CONCATENATE("2.2.",U30,"."))</f>
        <v>2.2.4.</v>
      </c>
      <c r="U30" s="105">
        <f>IF(AND(W30=0,Z30=0),0,MAX(U$22:U29)+1)</f>
        <v>4</v>
      </c>
      <c r="V30" s="105"/>
      <c r="W30" s="133">
        <f>SUM(W31:W34)</f>
        <v>3</v>
      </c>
      <c r="X30" s="52"/>
      <c r="Y30" s="52"/>
      <c r="Z30" s="133">
        <f>SUM(Z31:Z34)</f>
        <v>0</v>
      </c>
      <c r="AA30" s="52"/>
    </row>
    <row r="31" spans="1:27" ht="15">
      <c r="A31" s="59" t="s">
        <v>135</v>
      </c>
      <c r="B31" s="59"/>
      <c r="C31" s="57"/>
      <c r="D31" s="106"/>
      <c r="E31" s="106"/>
      <c r="F31" s="114"/>
      <c r="G31" s="113"/>
      <c r="H31" s="113"/>
      <c r="I31" s="114"/>
      <c r="J31" s="276"/>
      <c r="O31" s="276"/>
      <c r="R31" s="59" t="s">
        <v>135</v>
      </c>
      <c r="S31" s="59"/>
      <c r="T31" s="57"/>
      <c r="U31" s="106"/>
      <c r="V31" s="106"/>
      <c r="W31" s="114"/>
      <c r="X31" s="113"/>
      <c r="Y31" s="113"/>
      <c r="Z31" s="114"/>
      <c r="AA31" s="113"/>
    </row>
    <row r="32" spans="1:27" ht="15">
      <c r="A32" s="79" t="s">
        <v>176</v>
      </c>
      <c r="B32" s="79"/>
      <c r="C32" s="60"/>
      <c r="D32" s="144"/>
      <c r="E32" s="144"/>
      <c r="F32" s="114">
        <v>-1</v>
      </c>
      <c r="G32" s="113"/>
      <c r="H32" s="113"/>
      <c r="I32" s="114"/>
      <c r="J32" s="276"/>
      <c r="O32" s="276"/>
      <c r="R32" s="79" t="s">
        <v>176</v>
      </c>
      <c r="S32" s="79"/>
      <c r="T32" s="60"/>
      <c r="U32" s="144"/>
      <c r="V32" s="144"/>
      <c r="W32" s="114">
        <v>-1</v>
      </c>
      <c r="X32" s="113"/>
      <c r="Y32" s="113"/>
      <c r="Z32" s="114"/>
      <c r="AA32" s="113"/>
    </row>
    <row r="33" spans="1:27" ht="30">
      <c r="A33" s="79" t="s">
        <v>164</v>
      </c>
      <c r="B33" s="79"/>
      <c r="C33" s="60"/>
      <c r="D33" s="144"/>
      <c r="E33" s="144"/>
      <c r="F33" s="114">
        <v>4</v>
      </c>
      <c r="G33" s="113"/>
      <c r="H33" s="113"/>
      <c r="I33" s="114"/>
      <c r="J33" s="276"/>
      <c r="O33" s="276"/>
      <c r="R33" s="79" t="s">
        <v>164</v>
      </c>
      <c r="S33" s="79"/>
      <c r="T33" s="60"/>
      <c r="U33" s="144"/>
      <c r="V33" s="144"/>
      <c r="W33" s="114">
        <v>4</v>
      </c>
      <c r="X33" s="113"/>
      <c r="Y33" s="113"/>
      <c r="Z33" s="114"/>
      <c r="AA33" s="113"/>
    </row>
    <row r="34" spans="1:27" ht="15">
      <c r="A34" s="79" t="s">
        <v>157</v>
      </c>
      <c r="B34" s="79"/>
      <c r="C34" s="60"/>
      <c r="D34" s="144"/>
      <c r="E34" s="144"/>
      <c r="F34" s="114"/>
      <c r="G34" s="113"/>
      <c r="H34" s="113"/>
      <c r="I34" s="114"/>
      <c r="J34" s="276"/>
      <c r="O34" s="276"/>
      <c r="R34" s="79" t="s">
        <v>157</v>
      </c>
      <c r="S34" s="79"/>
      <c r="T34" s="60"/>
      <c r="U34" s="144"/>
      <c r="V34" s="144"/>
      <c r="W34" s="114"/>
      <c r="X34" s="113"/>
      <c r="Y34" s="113"/>
      <c r="Z34" s="114"/>
      <c r="AA34" s="113"/>
    </row>
    <row r="35" spans="1:27" ht="15">
      <c r="A35" s="59"/>
      <c r="B35" s="59"/>
      <c r="C35" s="52"/>
      <c r="D35" s="107"/>
      <c r="E35" s="107"/>
      <c r="F35" s="135"/>
      <c r="G35" s="134"/>
      <c r="H35" s="134"/>
      <c r="I35" s="135"/>
      <c r="J35" s="277"/>
      <c r="O35" s="277"/>
      <c r="R35" s="59"/>
      <c r="S35" s="59"/>
      <c r="T35" s="52"/>
      <c r="U35" s="107"/>
      <c r="V35" s="107"/>
      <c r="W35" s="135"/>
      <c r="X35" s="134"/>
      <c r="Y35" s="134"/>
      <c r="Z35" s="135"/>
      <c r="AA35" s="134"/>
    </row>
    <row r="36" spans="1:27" ht="15">
      <c r="A36" s="131" t="s">
        <v>177</v>
      </c>
      <c r="B36" s="70"/>
      <c r="C36" s="159" t="str">
        <f>IF(AND(F36=0,I36=0),"",CONCATENATE("2.2.",D36,"."))</f>
        <v>2.2.5.</v>
      </c>
      <c r="D36" s="105">
        <f>IF(AND(F36=0,I36=0),0,MAX(D$22:D35)+1)</f>
        <v>5</v>
      </c>
      <c r="E36" s="105"/>
      <c r="F36" s="112">
        <v>-1</v>
      </c>
      <c r="G36" s="113"/>
      <c r="H36" s="113"/>
      <c r="I36" s="112"/>
      <c r="J36" s="278"/>
      <c r="O36" s="278"/>
      <c r="R36" s="131" t="s">
        <v>177</v>
      </c>
      <c r="S36" s="70"/>
      <c r="T36" s="159" t="str">
        <f>IF(AND(W36=0,Z36=0),"",CONCATENATE("2.2.",U36,"."))</f>
        <v>2.2.5.</v>
      </c>
      <c r="U36" s="105">
        <f>IF(AND(W36=0,Z36=0),0,MAX(U$22:U35)+1)</f>
        <v>5</v>
      </c>
      <c r="V36" s="105"/>
      <c r="W36" s="112">
        <v>-1</v>
      </c>
      <c r="X36" s="113"/>
      <c r="Y36" s="113"/>
      <c r="Z36" s="112"/>
      <c r="AA36" s="113"/>
    </row>
    <row r="37" spans="1:27" ht="15">
      <c r="A37" s="70"/>
      <c r="B37" s="70"/>
      <c r="C37" s="52"/>
      <c r="D37" s="107"/>
      <c r="E37" s="107"/>
      <c r="F37" s="135"/>
      <c r="G37" s="134"/>
      <c r="H37" s="134"/>
      <c r="I37" s="145"/>
      <c r="J37" s="275"/>
      <c r="O37" s="275"/>
      <c r="R37" s="70"/>
      <c r="S37" s="70"/>
      <c r="T37" s="52"/>
      <c r="U37" s="107"/>
      <c r="V37" s="107"/>
      <c r="W37" s="135"/>
      <c r="X37" s="134"/>
      <c r="Y37" s="134"/>
      <c r="Z37" s="145"/>
      <c r="AA37" s="134"/>
    </row>
    <row r="38" spans="1:27" ht="15.75" thickBot="1">
      <c r="A38" s="140" t="s">
        <v>183</v>
      </c>
      <c r="B38" s="46"/>
      <c r="C38" s="141"/>
      <c r="D38" s="107"/>
      <c r="E38" s="107"/>
      <c r="F38" s="142">
        <f>F22+F30+F36</f>
        <v>-2</v>
      </c>
      <c r="G38" s="134"/>
      <c r="H38" s="134"/>
      <c r="I38" s="142">
        <f>I22+I30+I36</f>
        <v>0</v>
      </c>
      <c r="J38" s="275"/>
      <c r="O38" s="275"/>
      <c r="R38" s="140" t="s">
        <v>183</v>
      </c>
      <c r="S38" s="46"/>
      <c r="T38" s="141"/>
      <c r="U38" s="107"/>
      <c r="V38" s="107"/>
      <c r="W38" s="142">
        <f>W22+W30+W36</f>
        <v>-2</v>
      </c>
      <c r="X38" s="134"/>
      <c r="Y38" s="134"/>
      <c r="Z38" s="142">
        <f>Z22+Z30+Z36</f>
        <v>0</v>
      </c>
      <c r="AA38" s="134"/>
    </row>
    <row r="39" spans="1:27" ht="15.75" thickTop="1">
      <c r="A39" s="70"/>
      <c r="B39" s="70"/>
      <c r="C39" s="52"/>
      <c r="D39" s="107"/>
      <c r="E39" s="107"/>
      <c r="F39" s="135"/>
      <c r="G39" s="134"/>
      <c r="H39" s="134"/>
      <c r="I39" s="145"/>
      <c r="J39" s="275"/>
      <c r="O39" s="275"/>
      <c r="R39" s="70"/>
      <c r="S39" s="70"/>
      <c r="T39" s="52"/>
      <c r="U39" s="107"/>
      <c r="V39" s="107"/>
      <c r="W39" s="135"/>
      <c r="X39" s="134"/>
      <c r="Y39" s="134"/>
      <c r="Z39" s="145"/>
      <c r="AA39" s="134"/>
    </row>
    <row r="40" spans="1:27" ht="30">
      <c r="A40" s="146" t="s">
        <v>260</v>
      </c>
      <c r="B40" s="70"/>
      <c r="C40" s="159" t="str">
        <f>IF(AND(F40=0,I40=0),"",CONCATENATE("2.2.",D40,"."))</f>
        <v>2.2.6.</v>
      </c>
      <c r="D40" s="105">
        <f>IF(AND(F40=0,I40=0),0,MAX(D$22:D39)+1)</f>
        <v>6</v>
      </c>
      <c r="E40" s="105"/>
      <c r="F40" s="112">
        <v>5</v>
      </c>
      <c r="G40" s="113"/>
      <c r="H40" s="113"/>
      <c r="I40" s="112"/>
      <c r="J40" s="278"/>
      <c r="O40" s="278"/>
      <c r="R40" s="146" t="s">
        <v>260</v>
      </c>
      <c r="S40" s="70"/>
      <c r="T40" s="159" t="str">
        <f>IF(AND(W40=0,Z40=0),"",CONCATENATE("2.2.",U40,"."))</f>
        <v>2.2.6.</v>
      </c>
      <c r="U40" s="105">
        <f>IF(AND(W40=0,Z40=0),0,MAX(U$22:U39)+1)</f>
        <v>6</v>
      </c>
      <c r="V40" s="105"/>
      <c r="W40" s="112">
        <v>5</v>
      </c>
      <c r="X40" s="113"/>
      <c r="Y40" s="113"/>
      <c r="Z40" s="112"/>
      <c r="AA40" s="113"/>
    </row>
    <row r="41" spans="1:27" ht="15">
      <c r="A41" s="70"/>
      <c r="B41" s="70"/>
      <c r="C41" s="52"/>
      <c r="D41" s="107"/>
      <c r="E41" s="107"/>
      <c r="F41" s="135"/>
      <c r="G41" s="134"/>
      <c r="H41" s="134"/>
      <c r="I41" s="145"/>
      <c r="J41" s="275"/>
      <c r="O41" s="275"/>
      <c r="R41" s="70"/>
      <c r="S41" s="70"/>
      <c r="T41" s="52"/>
      <c r="U41" s="107"/>
      <c r="V41" s="107"/>
      <c r="W41" s="135"/>
      <c r="X41" s="134"/>
      <c r="Y41" s="134"/>
      <c r="Z41" s="145"/>
      <c r="AA41" s="134"/>
    </row>
    <row r="42" spans="1:27" ht="15.75" thickBot="1">
      <c r="A42" s="140" t="s">
        <v>180</v>
      </c>
      <c r="B42" s="46"/>
      <c r="C42" s="141"/>
      <c r="D42" s="107"/>
      <c r="E42" s="107"/>
      <c r="F42" s="142">
        <f>F18+F38+F40</f>
        <v>9</v>
      </c>
      <c r="G42" s="134"/>
      <c r="H42" s="134"/>
      <c r="I42" s="142">
        <f>I18+I38+I40</f>
        <v>0</v>
      </c>
      <c r="J42" s="275"/>
      <c r="O42" s="275"/>
      <c r="R42" s="140" t="s">
        <v>180</v>
      </c>
      <c r="S42" s="46"/>
      <c r="T42" s="141"/>
      <c r="U42" s="107"/>
      <c r="V42" s="107"/>
      <c r="W42" s="142">
        <f>W18+W38+W40</f>
        <v>9</v>
      </c>
      <c r="X42" s="134"/>
      <c r="Y42" s="134"/>
      <c r="Z42" s="142">
        <f>Z18+Z38+Z40</f>
        <v>0</v>
      </c>
      <c r="AA42" s="134"/>
    </row>
    <row r="43" spans="1:27" ht="15.75" thickTop="1">
      <c r="A43" s="70"/>
      <c r="B43" s="70"/>
      <c r="C43" s="52"/>
      <c r="D43" s="107"/>
      <c r="E43" s="107"/>
      <c r="F43" s="52"/>
      <c r="G43" s="134"/>
      <c r="H43" s="134"/>
      <c r="I43" s="52"/>
      <c r="J43" s="75"/>
      <c r="O43" s="75"/>
      <c r="R43" s="70"/>
      <c r="S43" s="70"/>
      <c r="T43" s="52"/>
      <c r="U43" s="107"/>
      <c r="V43" s="107"/>
      <c r="W43" s="52"/>
      <c r="X43" s="134"/>
      <c r="Y43" s="134"/>
      <c r="Z43" s="52"/>
      <c r="AA43" s="134"/>
    </row>
    <row r="44" spans="1:27" ht="15">
      <c r="A44" s="131" t="s">
        <v>163</v>
      </c>
      <c r="B44" s="70"/>
      <c r="C44" s="132" t="str">
        <f>IF(AND(F44=0,I44=0),"",CONCATENATE("2.2.",D44,"."))</f>
        <v>2.2.7.</v>
      </c>
      <c r="D44" s="106">
        <f>IF(AND(F44=0,I44=0),0,MAX(D$22:D43)+1)</f>
        <v>7</v>
      </c>
      <c r="E44" s="106"/>
      <c r="F44" s="133">
        <f>SUM(F45:F46)</f>
        <v>-2</v>
      </c>
      <c r="G44" s="134"/>
      <c r="H44" s="134"/>
      <c r="I44" s="133">
        <f>SUM(I45:I46)</f>
        <v>0</v>
      </c>
      <c r="J44" s="275"/>
      <c r="O44" s="275"/>
      <c r="R44" s="131" t="s">
        <v>163</v>
      </c>
      <c r="S44" s="70"/>
      <c r="T44" s="132" t="str">
        <f>IF(AND(W44=0,Z44=0),"",CONCATENATE("2.2.",U44,"."))</f>
        <v>2.2.7.</v>
      </c>
      <c r="U44" s="106">
        <f>IF(AND(W44=0,Z44=0),0,MAX(U$22:U43)+1)</f>
        <v>7</v>
      </c>
      <c r="V44" s="106"/>
      <c r="W44" s="133">
        <f>SUM(W45:W46)</f>
        <v>-2</v>
      </c>
      <c r="X44" s="134"/>
      <c r="Y44" s="134"/>
      <c r="Z44" s="133">
        <f>SUM(Z45:Z46)</f>
        <v>0</v>
      </c>
      <c r="AA44" s="134"/>
    </row>
    <row r="45" spans="1:27" ht="15">
      <c r="A45" s="147" t="s">
        <v>162</v>
      </c>
      <c r="B45" s="147"/>
      <c r="C45" s="52"/>
      <c r="D45" s="107"/>
      <c r="E45" s="107"/>
      <c r="F45" s="114">
        <v>-2</v>
      </c>
      <c r="G45" s="113"/>
      <c r="H45" s="113"/>
      <c r="I45" s="114"/>
      <c r="J45" s="276"/>
      <c r="O45" s="276"/>
      <c r="R45" s="147" t="s">
        <v>162</v>
      </c>
      <c r="S45" s="147"/>
      <c r="T45" s="52"/>
      <c r="U45" s="107"/>
      <c r="V45" s="107"/>
      <c r="W45" s="114">
        <v>-2</v>
      </c>
      <c r="X45" s="113"/>
      <c r="Y45" s="113"/>
      <c r="Z45" s="114"/>
      <c r="AA45" s="113"/>
    </row>
    <row r="46" spans="1:27" ht="15">
      <c r="A46" s="147" t="s">
        <v>181</v>
      </c>
      <c r="B46" s="147"/>
      <c r="C46" s="52"/>
      <c r="D46" s="107"/>
      <c r="E46" s="107"/>
      <c r="F46" s="114"/>
      <c r="G46" s="113"/>
      <c r="H46" s="113"/>
      <c r="I46" s="114"/>
      <c r="J46" s="276"/>
      <c r="O46" s="276"/>
      <c r="R46" s="147" t="s">
        <v>181</v>
      </c>
      <c r="S46" s="147"/>
      <c r="T46" s="52"/>
      <c r="U46" s="107"/>
      <c r="V46" s="107"/>
      <c r="W46" s="114"/>
      <c r="X46" s="113"/>
      <c r="Y46" s="113"/>
      <c r="Z46" s="114"/>
      <c r="AA46" s="113"/>
    </row>
    <row r="47" spans="1:27" ht="15">
      <c r="A47" s="59"/>
      <c r="B47" s="59"/>
      <c r="C47" s="52"/>
      <c r="D47" s="107"/>
      <c r="E47" s="107"/>
      <c r="F47" s="60"/>
      <c r="G47" s="134"/>
      <c r="H47" s="134"/>
      <c r="I47" s="60"/>
      <c r="J47" s="279"/>
      <c r="O47" s="279"/>
      <c r="R47" s="59"/>
      <c r="S47" s="59"/>
      <c r="T47" s="52"/>
      <c r="U47" s="107"/>
      <c r="V47" s="107"/>
      <c r="W47" s="60"/>
      <c r="X47" s="134"/>
      <c r="Y47" s="134"/>
      <c r="Z47" s="60"/>
      <c r="AA47" s="134"/>
    </row>
    <row r="48" spans="1:27" ht="15.75" thickBot="1">
      <c r="A48" s="140" t="s">
        <v>182</v>
      </c>
      <c r="B48" s="46"/>
      <c r="C48" s="141"/>
      <c r="D48" s="107"/>
      <c r="E48" s="107"/>
      <c r="F48" s="142">
        <f>F42+F44</f>
        <v>7</v>
      </c>
      <c r="G48" s="134"/>
      <c r="H48" s="134"/>
      <c r="I48" s="142">
        <f>I42+I44</f>
        <v>0</v>
      </c>
      <c r="J48" s="275"/>
      <c r="O48" s="275"/>
      <c r="R48" s="140" t="s">
        <v>182</v>
      </c>
      <c r="S48" s="46"/>
      <c r="T48" s="141"/>
      <c r="U48" s="107"/>
      <c r="V48" s="107"/>
      <c r="W48" s="142">
        <f>W42+W44</f>
        <v>7</v>
      </c>
      <c r="X48" s="134"/>
      <c r="Y48" s="134"/>
      <c r="Z48" s="142">
        <f>Z42+Z44</f>
        <v>0</v>
      </c>
      <c r="AA48" s="134"/>
    </row>
    <row r="49" spans="1:27" ht="16.5" thickBot="1" thickTop="1">
      <c r="A49" s="140" t="s">
        <v>0</v>
      </c>
      <c r="B49" s="46"/>
      <c r="C49" s="141"/>
      <c r="D49" s="107"/>
      <c r="E49" s="107"/>
      <c r="F49" s="215">
        <f>F48-F50</f>
        <v>7</v>
      </c>
      <c r="G49" s="134"/>
      <c r="H49" s="134"/>
      <c r="I49" s="215">
        <f>I48-I50</f>
        <v>0</v>
      </c>
      <c r="J49" s="280"/>
      <c r="O49" s="280"/>
      <c r="R49" s="140" t="s">
        <v>0</v>
      </c>
      <c r="S49" s="46"/>
      <c r="T49" s="141"/>
      <c r="U49" s="107"/>
      <c r="V49" s="107"/>
      <c r="W49" s="215">
        <f>W48-W50</f>
        <v>7</v>
      </c>
      <c r="X49" s="134"/>
      <c r="Y49" s="134"/>
      <c r="Z49" s="215">
        <f>Z48-Z50</f>
        <v>0</v>
      </c>
      <c r="AA49" s="134"/>
    </row>
    <row r="50" spans="1:27" ht="16.5" thickBot="1" thickTop="1">
      <c r="A50" s="140" t="s">
        <v>1</v>
      </c>
      <c r="B50" s="46"/>
      <c r="C50" s="141"/>
      <c r="D50" s="107"/>
      <c r="E50" s="107"/>
      <c r="F50" s="142"/>
      <c r="G50" s="134"/>
      <c r="H50" s="134"/>
      <c r="I50" s="142"/>
      <c r="J50" s="275"/>
      <c r="O50" s="275"/>
      <c r="R50" s="140" t="s">
        <v>1</v>
      </c>
      <c r="S50" s="46"/>
      <c r="T50" s="141"/>
      <c r="U50" s="107"/>
      <c r="V50" s="107"/>
      <c r="W50" s="142"/>
      <c r="X50" s="134"/>
      <c r="Y50" s="134"/>
      <c r="Z50" s="142"/>
      <c r="AA50" s="134"/>
    </row>
    <row r="51" spans="1:27" ht="15.75" thickTop="1">
      <c r="A51" s="435" t="str">
        <f>IF(AND(F$51="",I$51=""),"","Разлика в резултата между ОПР и БАЛАНСА!")</f>
        <v>Разлика в резултата между ОПР и БАЛАНСА!</v>
      </c>
      <c r="B51" s="435"/>
      <c r="C51" s="435"/>
      <c r="D51" s="304"/>
      <c r="E51" s="304"/>
      <c r="F51" s="148">
        <f>IF(F49=баланс!F70,"",F49-баланс!F70)</f>
        <v>426</v>
      </c>
      <c r="G51" s="149"/>
      <c r="H51" s="149"/>
      <c r="I51" s="148">
        <f>IF(НАЧАЛО!AB$3=1,IF(I$49=баланс!I$70,"",ОД!I55-баланс!I$70),"")</f>
        <v>0</v>
      </c>
      <c r="J51" s="275"/>
      <c r="O51" s="275"/>
      <c r="R51" s="435" t="str">
        <f>IF(AND(W$51="",Z$51=""),"","Разлика в резултата между ОПР и БАЛАНСА!")</f>
        <v>Разлика в резултата между ОПР и БАЛАНСА!</v>
      </c>
      <c r="S51" s="435"/>
      <c r="T51" s="435"/>
      <c r="U51" s="304"/>
      <c r="V51" s="304"/>
      <c r="W51" s="148">
        <f>IF(W49=баланс!AB70,"",W49-баланс!AB70)</f>
        <v>7</v>
      </c>
      <c r="X51" s="149"/>
      <c r="Y51" s="149"/>
      <c r="Z51" s="148">
        <f>IF(НАЧАЛО!AT$3=1,IF(Z$49=баланс!AE$70,"",ОД!AE55-баланс!AE$70),"")</f>
      </c>
      <c r="AA51" s="149"/>
    </row>
    <row r="52" spans="1:27" ht="15">
      <c r="A52" s="300" t="str">
        <f>CONCATENATE("Приложенията от страница ",НАЧАЛО!P52," до страница ",НАЧАЛО!R52," са неразделна част от финансовия отчет.")</f>
        <v>Приложенията от страница 7 до страница 45 са неразделна част от финансовия отчет.</v>
      </c>
      <c r="B52" s="300"/>
      <c r="C52" s="300"/>
      <c r="D52" s="300"/>
      <c r="E52" s="300"/>
      <c r="F52" s="300"/>
      <c r="G52" s="300"/>
      <c r="H52" s="300"/>
      <c r="I52" s="300"/>
      <c r="J52" s="281"/>
      <c r="L52" s="307" t="s">
        <v>19</v>
      </c>
      <c r="M52" s="307" t="str">
        <f>IF(НАЧАЛО!O34=JK61,"СОП „Ейч Ел Би България” ООД",НАЧАЛО!C51)</f>
        <v>СОП „Ейч Ел Би България” ООД</v>
      </c>
      <c r="N52" s="307" t="s">
        <v>257</v>
      </c>
      <c r="O52" s="281"/>
      <c r="R52" s="300" t="str">
        <f>CONCATENATE("Приложенията от страница ",НАЧАЛО!AG50," до страница ",НАЧАЛО!AI50," са неразделна част от финансовия отчет.")</f>
        <v>Приложенията от страница  до страница  са неразделна част от финансовия отчет.</v>
      </c>
      <c r="S52" s="300"/>
      <c r="T52" s="300"/>
      <c r="U52" s="300"/>
      <c r="V52" s="300"/>
      <c r="W52" s="300"/>
      <c r="X52" s="300"/>
      <c r="Y52" s="300"/>
      <c r="Z52" s="300"/>
      <c r="AA52" s="300"/>
    </row>
    <row r="53" spans="1:27" ht="15">
      <c r="A53" s="433" t="str">
        <f>IF(AND(F$51="",I$51=""),"","Резултат в БАЛАНСА:")</f>
        <v>Резултат в БАЛАНСА:</v>
      </c>
      <c r="B53" s="433"/>
      <c r="C53" s="433"/>
      <c r="D53" s="150"/>
      <c r="E53" s="150"/>
      <c r="F53" s="151">
        <f>IF(F$48=баланс!F$70,"",баланс!F$70)</f>
        <v>-419</v>
      </c>
      <c r="G53" s="152"/>
      <c r="H53" s="152"/>
      <c r="I53" s="151">
        <f>IF(НАЧАЛО!AB$3=1,IF(I$48=баланс!I$70,"",баланс!I$70),"")</f>
        <v>-841</v>
      </c>
      <c r="J53" s="275"/>
      <c r="L53" s="307"/>
      <c r="M53" s="307">
        <f ca="1">TODAY()</f>
        <v>40208</v>
      </c>
      <c r="N53" s="307">
        <v>40633</v>
      </c>
      <c r="O53" s="275"/>
      <c r="R53" s="433" t="str">
        <f>IF(AND(W$51="",Z$51=""),"","Резултат в БАЛАНСА:")</f>
        <v>Резултат в БАЛАНСА:</v>
      </c>
      <c r="S53" s="433"/>
      <c r="T53" s="433"/>
      <c r="U53" s="150"/>
      <c r="V53" s="150"/>
      <c r="W53" s="151">
        <f>IF(W$48=баланс!AB$70,"",баланс!AB$70)</f>
        <v>0</v>
      </c>
      <c r="X53" s="152"/>
      <c r="Y53" s="152"/>
      <c r="Z53" s="151">
        <f>IF(НАЧАЛО!AT$3=1,IF(Z$48=баланс!AE$70,"",баланс!AE$70),"")</f>
      </c>
      <c r="AA53" s="152"/>
    </row>
    <row r="54" spans="1:27" ht="15">
      <c r="A54" s="92" t="str">
        <f>НАЧАЛО!$A$44</f>
        <v>Представляващ:</v>
      </c>
      <c r="B54" s="153"/>
      <c r="C54" s="154"/>
      <c r="D54" s="154"/>
      <c r="E54" s="154"/>
      <c r="F54" s="98"/>
      <c r="G54" s="98"/>
      <c r="H54" s="98"/>
      <c r="I54" s="98"/>
      <c r="J54" s="282"/>
      <c r="L54" s="307" t="s">
        <v>18</v>
      </c>
      <c r="M54" s="307" t="str">
        <f>IF(НАЧАЛО!O34=JK61,"СОП „Ейч Ел Би България” ООД",ОД!A80)</f>
        <v>СОП „Ейч Ел Би България” ООД</v>
      </c>
      <c r="N54" s="307" t="str">
        <f>N52</f>
        <v>СОП „Ейч Ел Би България” ООД</v>
      </c>
      <c r="O54" s="282"/>
      <c r="R54" s="92" t="str">
        <f>НАЧАЛО!$A$44</f>
        <v>Представляващ:</v>
      </c>
      <c r="S54" s="153"/>
      <c r="T54" s="154"/>
      <c r="U54" s="154"/>
      <c r="V54" s="154"/>
      <c r="W54" s="98"/>
      <c r="X54" s="98"/>
      <c r="Y54" s="98"/>
      <c r="Z54" s="98"/>
      <c r="AA54" s="98"/>
    </row>
    <row r="55" spans="1:27" ht="15">
      <c r="A55" s="96" t="str">
        <f>НАЧАЛО!$A$46</f>
        <v>Явор Хайтов                          Красимир Сланчев</v>
      </c>
      <c r="B55" s="155"/>
      <c r="C55" s="98"/>
      <c r="D55" s="98"/>
      <c r="E55" s="98"/>
      <c r="F55" s="98"/>
      <c r="G55" s="98"/>
      <c r="H55" s="98"/>
      <c r="I55" s="98"/>
      <c r="J55" s="282"/>
      <c r="L55" s="307"/>
      <c r="M55" s="307">
        <f>M53</f>
        <v>40208</v>
      </c>
      <c r="N55" s="307">
        <f>N53</f>
        <v>40633</v>
      </c>
      <c r="O55" s="282"/>
      <c r="R55" s="96" t="str">
        <f>НАЧАЛО!$A$46</f>
        <v>Явор Хайтов                          Красимир Сланчев</v>
      </c>
      <c r="S55" s="155"/>
      <c r="T55" s="98"/>
      <c r="U55" s="98"/>
      <c r="V55" s="98"/>
      <c r="W55" s="98"/>
      <c r="X55" s="98"/>
      <c r="Y55" s="98"/>
      <c r="Z55" s="98"/>
      <c r="AA55" s="98"/>
    </row>
    <row r="56" spans="1:27" ht="12.75">
      <c r="A56" s="98"/>
      <c r="B56" s="98"/>
      <c r="C56" s="98"/>
      <c r="D56" s="98"/>
      <c r="E56" s="98"/>
      <c r="F56" s="98"/>
      <c r="G56" s="98"/>
      <c r="H56" s="98"/>
      <c r="I56" s="98"/>
      <c r="J56" s="282"/>
      <c r="L56" s="307" t="s">
        <v>20</v>
      </c>
      <c r="M56" s="307" t="str">
        <f>IF(НАЧАЛО!O34=JK61,"СОП „Ейч Ел Би България” ООД",баланс!A123)</f>
        <v>СОП „Ейч Ел Би България” ООД</v>
      </c>
      <c r="N56" s="307" t="str">
        <f>N52</f>
        <v>СОП „Ейч Ел Би България” ООД</v>
      </c>
      <c r="O56" s="282"/>
      <c r="R56" s="98"/>
      <c r="S56" s="98"/>
      <c r="T56" s="98"/>
      <c r="U56" s="98"/>
      <c r="V56" s="98"/>
      <c r="W56" s="98"/>
      <c r="X56" s="98"/>
      <c r="Y56" s="98"/>
      <c r="Z56" s="98"/>
      <c r="AA56" s="98"/>
    </row>
    <row r="57" spans="1:27" ht="15">
      <c r="A57" s="97" t="str">
        <f>НАЧАЛО!$F$44</f>
        <v>Съставител:</v>
      </c>
      <c r="B57" s="97"/>
      <c r="C57" s="156"/>
      <c r="D57" s="156"/>
      <c r="E57" s="156"/>
      <c r="F57" s="157"/>
      <c r="G57" s="98"/>
      <c r="H57" s="98"/>
      <c r="I57" s="157"/>
      <c r="J57" s="271"/>
      <c r="L57" s="307"/>
      <c r="M57" s="307">
        <f>M53</f>
        <v>40208</v>
      </c>
      <c r="N57" s="307">
        <f>N53</f>
        <v>40633</v>
      </c>
      <c r="O57" s="271"/>
      <c r="R57" s="97" t="str">
        <f>НАЧАЛО!$F$44</f>
        <v>Съставител:</v>
      </c>
      <c r="S57" s="97"/>
      <c r="T57" s="156"/>
      <c r="U57" s="156"/>
      <c r="V57" s="156"/>
      <c r="W57" s="157"/>
      <c r="X57" s="98"/>
      <c r="Y57" s="98"/>
      <c r="Z57" s="157"/>
      <c r="AA57" s="98"/>
    </row>
    <row r="58" spans="1:27" ht="15">
      <c r="A58" s="100" t="str">
        <f>НАЧАЛО!$F$46</f>
        <v>Боряна Машова</v>
      </c>
      <c r="B58" s="99"/>
      <c r="C58" s="156"/>
      <c r="D58" s="156"/>
      <c r="E58" s="156"/>
      <c r="F58" s="157"/>
      <c r="G58" s="98"/>
      <c r="H58" s="98"/>
      <c r="I58" s="157"/>
      <c r="J58" s="271"/>
      <c r="L58" s="307" t="s">
        <v>21</v>
      </c>
      <c r="M58" s="307" t="str">
        <f>IF(НАЧАЛО!O34=JK61,"СОП „Ейч Ел Би България” ООД",ОПП!A91)</f>
        <v>СОП „Ейч Ел Би България” ООД</v>
      </c>
      <c r="N58" s="307" t="str">
        <f>N52</f>
        <v>СОП „Ейч Ел Би България” ООД</v>
      </c>
      <c r="O58" s="271"/>
      <c r="R58" s="100" t="str">
        <f>НАЧАЛО!$F$46</f>
        <v>Боряна Машова</v>
      </c>
      <c r="S58" s="99"/>
      <c r="T58" s="156"/>
      <c r="U58" s="156"/>
      <c r="V58" s="156"/>
      <c r="W58" s="157"/>
      <c r="X58" s="98"/>
      <c r="Y58" s="98"/>
      <c r="Z58" s="157"/>
      <c r="AA58" s="98"/>
    </row>
    <row r="59" spans="1:27" ht="15">
      <c r="A59" s="97"/>
      <c r="B59" s="97"/>
      <c r="C59" s="156"/>
      <c r="D59" s="156"/>
      <c r="E59" s="156"/>
      <c r="F59" s="157"/>
      <c r="G59" s="98"/>
      <c r="H59" s="98"/>
      <c r="I59" s="157"/>
      <c r="J59" s="271"/>
      <c r="L59" s="307"/>
      <c r="M59" s="307">
        <f>M53</f>
        <v>40208</v>
      </c>
      <c r="N59" s="307">
        <f>N53</f>
        <v>40633</v>
      </c>
      <c r="O59" s="271"/>
      <c r="R59" s="97"/>
      <c r="S59" s="97"/>
      <c r="T59" s="156"/>
      <c r="U59" s="156"/>
      <c r="V59" s="156"/>
      <c r="W59" s="157"/>
      <c r="X59" s="98"/>
      <c r="Y59" s="98"/>
      <c r="Z59" s="157"/>
      <c r="AA59" s="98"/>
    </row>
    <row r="60" spans="1:27" ht="15">
      <c r="A60" s="100" t="str">
        <f>НАЧАЛО!$C$49</f>
        <v>Заверил:</v>
      </c>
      <c r="B60" s="99"/>
      <c r="C60" s="156"/>
      <c r="D60" s="156"/>
      <c r="E60" s="156"/>
      <c r="F60" s="157"/>
      <c r="G60" s="98"/>
      <c r="H60" s="98"/>
      <c r="I60" s="157"/>
      <c r="J60" s="271"/>
      <c r="L60" s="307" t="s">
        <v>22</v>
      </c>
      <c r="M60" s="307" t="str">
        <f>IF(НАЧАЛО!O34=JK61,"СОП „Ейч Ел Би България” ООД",СК!A106)</f>
        <v>СОП „Ейч Ел Би България” ООД</v>
      </c>
      <c r="N60" s="307" t="str">
        <f>N52</f>
        <v>СОП „Ейч Ел Би България” ООД</v>
      </c>
      <c r="O60" s="271"/>
      <c r="R60" s="100" t="str">
        <f>НАЧАЛО!$C$49</f>
        <v>Заверил:</v>
      </c>
      <c r="S60" s="99"/>
      <c r="T60" s="156"/>
      <c r="U60" s="156"/>
      <c r="V60" s="156"/>
      <c r="W60" s="157"/>
      <c r="X60" s="98"/>
      <c r="Y60" s="98"/>
      <c r="Z60" s="157"/>
      <c r="AA60" s="98"/>
    </row>
    <row r="61" spans="1:27" ht="15">
      <c r="A61" s="96" t="str">
        <f>НАЧАЛО!$C$51</f>
        <v>СОП „Ейч Ел Би България” ООД</v>
      </c>
      <c r="B61" s="98"/>
      <c r="C61" s="156"/>
      <c r="D61" s="156"/>
      <c r="E61" s="156"/>
      <c r="F61" s="157"/>
      <c r="G61" s="98"/>
      <c r="H61" s="98"/>
      <c r="I61" s="157"/>
      <c r="J61" s="271"/>
      <c r="L61" s="307"/>
      <c r="M61" s="307">
        <f>M53</f>
        <v>40208</v>
      </c>
      <c r="N61" s="307">
        <f>N53</f>
        <v>40633</v>
      </c>
      <c r="O61" s="271"/>
      <c r="R61" s="96" t="str">
        <f>НАЧАЛО!$C$51</f>
        <v>СОП „Ейч Ел Би България” ООД</v>
      </c>
      <c r="S61" s="98"/>
      <c r="T61" s="156"/>
      <c r="U61" s="156"/>
      <c r="V61" s="156"/>
      <c r="W61" s="157"/>
      <c r="X61" s="98"/>
      <c r="Y61" s="98"/>
      <c r="Z61" s="157"/>
      <c r="AA61" s="98"/>
    </row>
    <row r="62" spans="1:27" ht="18.75">
      <c r="A62" s="102"/>
      <c r="B62" s="158"/>
      <c r="C62" s="156"/>
      <c r="D62" s="156"/>
      <c r="E62" s="156"/>
      <c r="F62" s="157"/>
      <c r="G62" s="98"/>
      <c r="H62" s="98"/>
      <c r="I62" s="157"/>
      <c r="J62" s="271"/>
      <c r="L62" s="307" t="s">
        <v>38</v>
      </c>
      <c r="M62" s="307" t="str">
        <f>НАЧАЛО!O34</f>
        <v>С</v>
      </c>
      <c r="N62" s="307" t="s">
        <v>34</v>
      </c>
      <c r="O62" s="271"/>
      <c r="R62" s="102"/>
      <c r="S62" s="158"/>
      <c r="T62" s="156"/>
      <c r="U62" s="156"/>
      <c r="V62" s="156"/>
      <c r="W62" s="157"/>
      <c r="X62" s="98"/>
      <c r="Y62" s="98"/>
      <c r="Z62" s="157"/>
      <c r="AA62" s="98"/>
    </row>
    <row r="63" spans="1:27" ht="15">
      <c r="A63" s="96" t="str">
        <f>НАЧАЛО!$C$57</f>
        <v>София, 29 януари 2010 г.</v>
      </c>
      <c r="B63" s="98"/>
      <c r="C63" s="156"/>
      <c r="D63" s="156"/>
      <c r="E63" s="156"/>
      <c r="F63" s="157"/>
      <c r="G63" s="98"/>
      <c r="H63" s="98"/>
      <c r="I63" s="157"/>
      <c r="J63" s="271"/>
      <c r="O63" s="271"/>
      <c r="R63" s="96" t="str">
        <f>НАЧАЛО!$C$57</f>
        <v>София, 29 януари 2010 г.</v>
      </c>
      <c r="S63" s="98"/>
      <c r="T63" s="156"/>
      <c r="U63" s="156"/>
      <c r="V63" s="156"/>
      <c r="W63" s="157"/>
      <c r="X63" s="98"/>
      <c r="Y63" s="98"/>
      <c r="Z63" s="157"/>
      <c r="AA63" s="98"/>
    </row>
    <row r="64" spans="1:19" ht="15">
      <c r="A64" s="116"/>
      <c r="B64" s="116"/>
      <c r="R64" s="116"/>
      <c r="S64" s="116"/>
    </row>
    <row r="66" spans="1:19" ht="15">
      <c r="A66" s="119"/>
      <c r="B66" s="119"/>
      <c r="R66" s="119"/>
      <c r="S66" s="119"/>
    </row>
  </sheetData>
  <sheetProtection password="E491" sheet="1" objects="1"/>
  <mergeCells count="4">
    <mergeCell ref="A51:C51"/>
    <mergeCell ref="A53:C53"/>
    <mergeCell ref="R51:T51"/>
    <mergeCell ref="R53:T53"/>
  </mergeCells>
  <conditionalFormatting sqref="A1:I63 R1:AA63">
    <cfRule type="expression" priority="23" dxfId="0" stopIfTrue="1">
      <formula>$M$53&gt;$N$53</formula>
    </cfRule>
    <cfRule type="expression" priority="24" dxfId="0" stopIfTrue="1">
      <formula>$M$52&lt;&gt;$N$52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 AFA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Krasimir Demerdjiev</dc:creator>
  <cp:keywords/>
  <dc:description/>
  <cp:lastModifiedBy>t</cp:lastModifiedBy>
  <cp:lastPrinted>2010-01-29T20:32:38Z</cp:lastPrinted>
  <dcterms:created xsi:type="dcterms:W3CDTF">2003-02-07T14:36:34Z</dcterms:created>
  <dcterms:modified xsi:type="dcterms:W3CDTF">2010-01-30T10:21:08Z</dcterms:modified>
  <cp:category/>
  <cp:version/>
  <cp:contentType/>
  <cp:contentStatus/>
</cp:coreProperties>
</file>