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8" firstSheet="1" activeTab="4"/>
  </bookViews>
  <sheets>
    <sheet name="справка №2-ОТЧЕТ ЗА ДОХОДИТЕ" sheetId="1" r:id="rId1"/>
    <sheet name="справка №1-БАЛАНС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<sst xmlns="http://schemas.openxmlformats.org/spreadsheetml/2006/main" count="1059" uniqueCount="879">
  <si>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</si>
  <si>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</si>
  <si>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</si>
  <si>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</si>
  <si>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</si>
  <si>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</si>
  <si>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</si>
  <si>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</si>
  <si>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</si>
  <si>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</si>
  <si>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</si>
  <si>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</si>
  <si>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</si>
  <si>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</si>
  <si>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</si>
  <si>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</si>
  <si>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</si>
  <si>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</si>
  <si>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</si>
  <si>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</si>
  <si>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</si>
  <si>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</si>
  <si>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</si>
  <si>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</si>
  <si>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</si>
  <si>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</si>
  <si>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</si>
  <si>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</si>
  <si>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</si>
  <si>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</si>
  <si>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</si>
  <si>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</si>
  <si>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</si>
  <si>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</si>
  <si>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</si>
  <si>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</si>
  <si>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</si>
  <si>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</si>
  <si>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</si>
  <si>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</si>
  <si>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</si>
  <si>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</si>
  <si>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</si>
  <si>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</si>
  <si>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</si>
  <si>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</si>
  <si>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</si>
  <si>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</si>
  <si>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</si>
  <si>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</si>
  <si>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</si>
  <si>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</si>
  <si>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</si>
  <si>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</si>
  <si>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</si>
  <si>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</si>
  <si>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</si>
  <si>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</si>
  <si>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</si>
  <si>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</si>
  <si>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</si>
  <si>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</si>
  <si>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</si>
  <si>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</si>
  <si>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</si>
  <si>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</si>
  <si>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</si>
  <si>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</si>
  <si>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</si>
  <si>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</si>
  <si>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</si>
  <si>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</si>
  <si>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</si>
  <si>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</si>
  <si>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</si>
  <si>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</si>
  <si>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</si>
  <si>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</si>
  <si>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</si>
  <si>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</si>
  <si>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</si>
  <si>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</si>
  <si>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</si>
  <si>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</si>
  <si>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</si>
  <si>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</si>
  <si>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</si>
  <si>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</si>
  <si>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</si>
  <si>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</si>
  <si>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</si>
  <si>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</si>
  <si>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</si>
  <si>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</si>
  <si>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</si>
  <si>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</si>
  <si>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</si>
  <si>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</si>
  <si>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</si>
  <si>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</si>
  <si>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</si>
  <si>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</si>
  <si>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</si>
  <si>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</si>
  <si>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</si>
  <si>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</si>
  <si>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</si>
  <si>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</si>
  <si>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</si>
  <si>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</si>
  <si>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</si>
  <si>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</si>
  <si>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</si>
  <si>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</si>
  <si>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</si>
  <si>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</si>
  <si>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</si>
  <si>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</si>
  <si>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</si>
  <si>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</si>
  <si>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</si>
  <si>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</si>
  <si>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</si>
  <si>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</si>
  <si>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</si>
  <si>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</si>
  <si>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</si>
  <si>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</si>
  <si>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</si>
  <si>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</si>
  <si>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</si>
  <si>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</si>
  <si>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</si>
  <si>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</si>
  <si>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</si>
  <si>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</si>
  <si>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</si>
  <si>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</si>
  <si>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</si>
  <si>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</si>
  <si>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</si>
  <si>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</si>
  <si>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</si>
  <si>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</si>
  <si>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</si>
  <si>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</si>
  <si>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</si>
  <si>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</si>
  <si>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</si>
  <si>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</si>
  <si>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</si>
  <si>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</si>
  <si>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</si>
  <si>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</si>
  <si>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</si>
  <si>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</si>
  <si>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</si>
  <si>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</si>
  <si>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</si>
  <si>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</si>
  <si>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</si>
  <si>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</si>
  <si>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</si>
  <si>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</si>
  <si>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</si>
  <si>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</si>
  <si>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</si>
  <si>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</si>
  <si>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</si>
  <si>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</si>
  <si>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</si>
  <si>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</si>
  <si>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</si>
  <si>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</si>
  <si>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</si>
  <si>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</si>
  <si>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</si>
  <si>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</si>
  <si>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</si>
  <si>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</si>
  <si>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</si>
  <si>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</si>
  <si>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</si>
  <si>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</si>
  <si>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</si>
  <si>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</si>
  <si>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</si>
  <si>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</si>
  <si>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</si>
  <si>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</si>
  <si>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</si>
  <si>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</si>
  <si>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</si>
  <si>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</si>
  <si>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</si>
  <si>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</si>
  <si>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</si>
  <si>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</si>
  <si>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</si>
  <si>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</si>
  <si>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</si>
  <si>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</si>
  <si>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</si>
  <si>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</si>
  <si>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</si>
  <si>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</si>
  <si>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</si>
  <si>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</si>
  <si>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</si>
  <si>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</si>
  <si>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</si>
  <si>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</si>
  <si>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</si>
  <si>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</si>
  <si>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</si>
  <si>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</si>
  <si>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</si>
  <si>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</si>
  <si>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</si>
  <si>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</si>
  <si>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</si>
  <si>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</si>
  <si>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</si>
  <si>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</si>
  <si>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</si>
  <si>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</si>
  <si>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</si>
  <si>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</si>
  <si>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</si>
  <si>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</si>
  <si>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</si>
  <si>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</si>
  <si>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</si>
  <si>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</si>
  <si>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</si>
  <si>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</si>
  <si>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</si>
  <si>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</si>
  <si>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</si>
  <si>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</si>
  <si>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</si>
  <si>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</si>
  <si>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</si>
  <si>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</si>
  <si>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</si>
  <si>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</si>
  <si>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</si>
  <si>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</si>
  <si>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</si>
  <si>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</si>
  <si>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</si>
  <si>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</si>
  <si>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</si>
  <si>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</si>
  <si>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</si>
  <si>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</si>
  <si>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</si>
  <si>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</si>
  <si>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</si>
  <si>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</si>
  <si>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</si>
  <si>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</si>
  <si>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</si>
  <si>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</si>
  <si>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</si>
  <si>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</si>
  <si>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</si>
  <si>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</si>
  <si>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</si>
  <si>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</si>
  <si>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</si>
  <si>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</si>
  <si>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</si>
  <si>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</si>
  <si>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</si>
  <si>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</si>
  <si>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</si>
  <si>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</si>
  <si>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</si>
  <si>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</si>
  <si>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</si>
  <si>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</si>
  <si>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</si>
  <si>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</si>
  <si>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</si>
  <si>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</si>
  <si>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</si>
  <si>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</si>
  <si>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</si>
  <si>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</si>
  <si>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</si>
  <si>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</si>
  <si>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</si>
  <si>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</si>
  <si>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</si>
  <si>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</si>
  <si>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</si>
  <si>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</si>
  <si>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</si>
  <si>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</si>
  <si>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</si>
  <si>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</si>
  <si>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</si>
  <si>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</si>
  <si>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</si>
  <si>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</si>
  <si>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</si>
  <si>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</si>
  <si>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</si>
  <si>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</si>
  <si>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</si>
  <si>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</si>
  <si>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</si>
  <si>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</si>
  <si>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</si>
  <si>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</si>
  <si>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</si>
  <si>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</si>
  <si>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</si>
  <si>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</si>
  <si>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</si>
  <si>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</si>
  <si>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</si>
  <si>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</si>
  <si>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</si>
  <si>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</si>
  <si>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</si>
  <si>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</si>
  <si>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</si>
  <si>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</si>
  <si>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</si>
  <si>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</si>
  <si>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</si>
  <si>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</si>
  <si>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</si>
  <si>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</si>
  <si>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</si>
  <si>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</si>
  <si>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</si>
  <si>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</si>
  <si>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</si>
  <si>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</si>
  <si>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</si>
  <si>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</si>
  <si>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</si>
  <si>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</si>
  <si>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</si>
  <si>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</si>
  <si>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</si>
  <si>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</si>
  <si>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</si>
  <si>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</si>
  <si>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</si>
  <si>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</si>
  <si>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</si>
  <si>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</si>
  <si>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</si>
  <si>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</si>
  <si>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</si>
  <si>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</si>
  <si>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</si>
  <si>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</si>
  <si>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</si>
  <si>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</si>
  <si>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</si>
  <si>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</si>
  <si>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</si>
  <si>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</si>
  <si>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</si>
  <si>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</si>
  <si>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</si>
  <si>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</si>
  <si>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</si>
  <si>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</si>
  <si>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</si>
  <si>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</si>
  <si>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</si>
  <si>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</si>
  <si>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</si>
  <si>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</si>
  <si>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</si>
  <si>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</si>
  <si>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</si>
  <si>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</si>
  <si>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</si>
  <si>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</si>
  <si>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</si>
  <si>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</si>
  <si>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</si>
  <si>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</si>
  <si>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</si>
  <si>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</si>
  <si>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</si>
  <si>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</si>
  <si>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</si>
  <si>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</si>
  <si>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</si>
  <si>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</si>
  <si>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</si>
  <si>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</si>
  <si>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</si>
  <si>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</si>
  <si>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</si>
  <si>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</si>
  <si>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</si>
  <si>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</si>
  <si>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</si>
  <si>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</si>
  <si>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</si>
  <si>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</si>
  <si>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</si>
  <si>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</si>
  <si>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</si>
  <si>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</si>
  <si>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</si>
  <si>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</si>
  <si>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</si>
  <si>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</si>
  <si>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</si>
  <si>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</si>
  <si>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</si>
  <si>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</si>
  <si>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</si>
  <si>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</si>
  <si>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</si>
  <si>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</si>
  <si>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</si>
  <si>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</si>
  <si>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</si>
  <si>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</si>
  <si>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</si>
  <si>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</si>
  <si>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</si>
  <si>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</si>
  <si>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</si>
  <si>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</si>
  <si>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</si>
  <si>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</si>
  <si>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</si>
  <si>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</si>
  <si>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</si>
  <si>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</si>
  <si>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</si>
  <si>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</si>
  <si>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</si>
  <si>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</si>
  <si>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</si>
  <si>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</si>
  <si>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</si>
  <si>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</si>
  <si>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</si>
  <si>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</si>
  <si>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</si>
  <si>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</si>
  <si>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</si>
  <si>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</si>
  <si>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</si>
  <si>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</si>
  <si>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</si>
  <si>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</si>
  <si>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</si>
  <si>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</si>
  <si>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</si>
  <si>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</si>
  <si>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</si>
  <si>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</si>
  <si>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</si>
  <si>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</si>
  <si>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</si>
  <si>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</si>
  <si>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</si>
  <si>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</si>
  <si>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</si>
  <si>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</si>
  <si>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</si>
  <si>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</si>
  <si>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</si>
  <si>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</si>
  <si>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</si>
  <si>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</si>
  <si>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</si>
  <si>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</si>
  <si>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</si>
  <si>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</si>
  <si>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</si>
  <si>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</si>
  <si>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</si>
  <si>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</si>
  <si>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</si>
  <si>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</si>
  <si>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</si>
  <si>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</si>
  <si>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</si>
  <si>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</si>
  <si>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</si>
  <si>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</si>
  <si>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</si>
  <si>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</si>
  <si>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</si>
  <si>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</si>
  <si>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</si>
  <si>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</si>
  <si>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</si>
  <si>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</si>
  <si>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</si>
  <si>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</si>
  <si>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</si>
  <si>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</si>
  <si>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</si>
  <si>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</si>
  <si>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</si>
  <si>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</si>
  <si>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</si>
  <si>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</si>
  <si>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</si>
  <si>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</si>
  <si>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</si>
  <si>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</si>
  <si>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</si>
  <si>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</si>
  <si>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</si>
  <si>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</si>
  <si>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</si>
  <si>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</si>
  <si>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</si>
  <si>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</si>
  <si>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</si>
  <si>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</si>
  <si>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</si>
  <si>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</si>
  <si>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</si>
  <si>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</si>
  <si>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</si>
  <si>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</si>
  <si>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</si>
  <si>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</si>
  <si>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</si>
  <si>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</si>
  <si>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</si>
  <si>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</si>
  <si>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</si>
  <si>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</si>
  <si>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</si>
  <si>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</si>
  <si>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</si>
  <si>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</si>
  <si>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</si>
  <si>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</si>
  <si>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</si>
  <si>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</si>
  <si>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</si>
  <si>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</si>
  <si>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</si>
  <si>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</si>
  <si>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</si>
  <si>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</si>
  <si>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</si>
  <si>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</si>
  <si>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</si>
  <si>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</si>
  <si>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</si>
  <si>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</si>
  <si>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</si>
  <si>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</si>
  <si>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</si>
  <si>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</si>
  <si>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</si>
  <si>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</si>
  <si>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</si>
  <si>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</si>
  <si>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</si>
  <si>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</si>
  <si>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</si>
  <si>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</si>
  <si>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</si>
  <si>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</si>
  <si>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</si>
  <si>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</si>
  <si>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</si>
  <si>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</si>
  <si>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</si>
  <si>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</si>
  <si>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</si>
  <si>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</si>
  <si>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</si>
  <si>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</si>
  <si>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</si>
  <si>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</si>
  <si>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</si>
  <si>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</si>
  <si>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</si>
  <si>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</si>
  <si>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</si>
  <si>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</si>
  <si>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</si>
  <si>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</si>
  <si>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</si>
  <si>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</si>
  <si>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</si>
  <si>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</si>
  <si>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</si>
  <si>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</si>
  <si>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</si>
  <si>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</si>
  <si>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</si>
  <si>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</si>
  <si>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</si>
  <si>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</si>
  <si>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</si>
  <si>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</si>
  <si>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</si>
  <si>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</si>
  <si>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</si>
  <si>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</si>
  <si>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</si>
  <si>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</si>
  <si>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</si>
  <si>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</si>
  <si>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</si>
  <si>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</si>
  <si>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</si>
  <si>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</si>
  <si>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</si>
  <si>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</si>
  <si>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</si>
  <si>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</si>
  <si>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</si>
  <si>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</si>
  <si>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</si>
  <si>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</si>
  <si>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</si>
  <si>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</si>
  <si>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</si>
  <si>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</si>
  <si>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</si>
  <si>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</si>
  <si>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</si>
  <si>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</si>
  <si>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</si>
  <si>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</si>
  <si>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</si>
  <si>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</si>
  <si>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</si>
  <si>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</si>
  <si>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</si>
  <si>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</si>
  <si>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</si>
  <si>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</si>
  <si>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</si>
  <si>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</si>
  <si>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</si>
  <si>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</si>
  <si>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</si>
  <si>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</si>
  <si>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</si>
  <si>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</si>
  <si>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</si>
  <si>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</si>
  <si>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</si>
  <si>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</si>
  <si>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</si>
  <si>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</si>
  <si>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</si>
  <si>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</si>
  <si>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</si>
  <si>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</si>
  <si>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</si>
  <si>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</si>
  <si>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</si>
  <si>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</si>
  <si>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</si>
  <si>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</si>
  <si>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</si>
  <si>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</si>
  <si>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</si>
  <si>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</si>
  <si>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</si>
  <si>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</si>
  <si>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</si>
  <si>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</si>
  <si>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</si>
  <si>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</si>
  <si>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</si>
  <si>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</si>
  <si>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</si>
  <si>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</si>
  <si>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</si>
  <si>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</si>
  <si>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</si>
  <si>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</si>
  <si>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</si>
  <si>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</si>
  <si>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</si>
  <si>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</si>
  <si>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</si>
  <si>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</si>
  <si>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</si>
  <si>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</si>
  <si>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</si>
  <si>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</si>
  <si>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</si>
  <si>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</si>
  <si>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</si>
  <si>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</si>
  <si>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</si>
  <si>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</si>
  <si>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</si>
  <si>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</si>
  <si>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</si>
  <si>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</si>
  <si>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</si>
  <si>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</si>
  <si>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</si>
  <si>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</si>
  <si>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</si>
  <si>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</si>
  <si>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</si>
  <si>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</si>
  <si>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</si>
  <si>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</si>
  <si>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</si>
  <si>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</si>
  <si>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</si>
  <si>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</si>
  <si>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</si>
  <si>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</si>
  <si>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</si>
  <si>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</si>
  <si>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</si>
  <si>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</si>
  <si>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</si>
  <si>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</si>
  <si>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</si>
  <si>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</si>
  <si>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</si>
  <si>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</si>
  <si>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</si>
  <si>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</si>
  <si>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</si>
  <si>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</si>
  <si>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</si>
  <si>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</si>
  <si>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</si>
  <si>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</si>
  <si>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</si>
  <si>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</si>
  <si>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</si>
  <si>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</si>
  <si>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</si>
  <si>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</si>
  <si>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</si>
  <si>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</si>
  <si>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</si>
  <si>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</si>
  <si>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</si>
  <si>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</si>
  <si>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</si>
  <si>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</si>
  <si>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</si>
  <si>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</si>
  <si>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</si>
  <si>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</si>
  <si>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</si>
  <si>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</si>
  <si>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</si>
  <si>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</si>
  <si>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</si>
  <si>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</si>
  <si>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</si>
  <si>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</si>
  <si>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</si>
  <si>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</si>
  <si>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</si>
  <si>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</si>
  <si>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</si>
  <si>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</si>
  <si>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</si>
  <si>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</si>
  <si>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</si>
  <si>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</si>
  <si>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</si>
  <si>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</si>
  <si>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</si>
  <si>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</si>
  <si>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</si>
  <si>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</si>
  <si>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</si>
  <si>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</si>
  <si>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</si>
  <si>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</si>
  <si>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</si>
  <si>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</si>
  <si>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</si>
  <si>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</si>
  <si>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</si>
  <si>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</si>
  <si>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</si>
  <si>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</si>
  <si>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</si>
  <si>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</si>
  <si>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</si>
  <si>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</si>
  <si>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</si>
  <si>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</si>
  <si>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</si>
  <si>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</si>
  <si>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</si>
  <si>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</si>
  <si>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</si>
  <si>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</si>
  <si>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</si>
  <si>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</si>
  <si>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</si>
  <si>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</si>
  <si>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</si>
  <si>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</si>
  <si>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</si>
  <si>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</si>
  <si>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</si>
  <si>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</si>
  <si>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</si>
  <si>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</si>
  <si>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</si>
  <si>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</si>
  <si>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</si>
  <si>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</si>
  <si>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</si>
  <si>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</si>
  <si>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</si>
  <si>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</si>
  <si>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</si>
  <si>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</si>
  <si>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</si>
  <si>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</si>
  <si>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</si>
  <si>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</si>
  <si>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</si>
  <si>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</si>
  <si>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</si>
  <si>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</si>
  <si>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</si>
  <si>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</si>
  <si>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</si>
  <si>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</si>
  <si>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</si>
  <si>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</si>
  <si>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</si>
  <si>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</si>
  <si>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</si>
  <si>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</si>
  <si>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</si>
  <si>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</si>
  <si>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</si>
  <si>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</si>
  <si>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</si>
  <si>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</si>
  <si>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</si>
  <si>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</si>
  <si>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</si>
  <si>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</si>
  <si>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</si>
  <si>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</si>
  <si>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</si>
  <si>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</si>
  <si>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</si>
  <si>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</si>
  <si>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</si>
  <si>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</si>
  <si>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ТЕХНОЛОГИЧЕН ЦЕНТЪР- ИНСТИТУТ ПО МИКРОЕЛЕКТРОНИКА АД</t>
  </si>
  <si>
    <t>1. КОРПОРАТИВНА ТЪРГОВСКА БАНКА АД</t>
  </si>
  <si>
    <t>3. ДОЙРАН СТИЛ ООД</t>
  </si>
  <si>
    <t>2. СЕНТРЪЛ ТЕХНО ДИВЕЛЪПМЪНТ 2  ЕАД</t>
  </si>
  <si>
    <t xml:space="preserve"> неконсолидиран</t>
  </si>
  <si>
    <t>01.01.2010-30.06.2010г.</t>
  </si>
  <si>
    <t>Дата на съставяне: 16.07.2010г.</t>
  </si>
  <si>
    <t>16.07.2010г.</t>
  </si>
  <si>
    <t xml:space="preserve">4. СИ ДИ ДИВЕЛОПМЪНТС 1  АД </t>
  </si>
  <si>
    <t>2. СИ ДИ ДИВЕЛОПМЪНТС АД</t>
  </si>
  <si>
    <t>1.ТЦ -ИМЕ ВЕСТ ЕАД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</si>
</sst>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#,##0_);\(#,##0\)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3" fontId="11" fillId="0" borderId="0" xfId="28" applyNumberFormat="1" applyFont="1" applyFill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3" fontId="10" fillId="0" borderId="0" xfId="27" applyNumberFormat="1" applyFont="1" applyFill="1" applyAlignment="1" applyProtection="1">
      <alignment horizontal="right" vertical="top" wrapText="1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H20" sqref="H20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625" style="544" customWidth="1"/>
    <col min="5" max="5" width="37.375" style="567" customWidth="1"/>
    <col min="6" max="6" width="9.00390625" style="567" customWidth="1"/>
    <col min="7" max="7" width="11.625" style="544" customWidth="1"/>
    <col min="8" max="8" width="13.125" style="544" customWidth="1"/>
    <col min="9" max="16384" width="9.37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7" t="str">
        <f>'справка №1-БАЛАНС'!E3</f>
        <v>ТЕХНОЛОГИЧЕН ЦЕНТЪР- ИНСТИТУТ ПО МИКРОЕЛЕКТРОНИКА АД</v>
      </c>
      <c r="C2" s="587"/>
      <c r="D2" s="587"/>
      <c r="E2" s="587"/>
      <c r="F2" s="589" t="s">
        <v>2</v>
      </c>
      <c r="G2" s="589"/>
      <c r="H2" s="525">
        <f>'справка №1-БАЛАНС'!H3</f>
        <v>121084839</v>
      </c>
    </row>
    <row r="3" spans="1:8" ht="15">
      <c r="A3" s="466" t="s">
        <v>275</v>
      </c>
      <c r="B3" s="587" t="str">
        <f>'справка №1-БАЛАНС'!E4</f>
        <v> неконсолидиран</v>
      </c>
      <c r="C3" s="587"/>
      <c r="D3" s="587"/>
      <c r="E3" s="587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8" t="str">
        <f>'справка №1-БАЛАНС'!E5</f>
        <v>01.01.2010-30.06.2010г.</v>
      </c>
      <c r="C4" s="588"/>
      <c r="D4" s="588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55</v>
      </c>
      <c r="D9" s="46">
        <v>34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662</v>
      </c>
      <c r="D10" s="46">
        <v>275</v>
      </c>
      <c r="E10" s="298" t="s">
        <v>289</v>
      </c>
      <c r="F10" s="548" t="s">
        <v>290</v>
      </c>
      <c r="G10" s="549">
        <v>125</v>
      </c>
      <c r="H10" s="549">
        <v>158</v>
      </c>
    </row>
    <row r="11" spans="1:8" ht="12">
      <c r="A11" s="298" t="s">
        <v>291</v>
      </c>
      <c r="B11" s="299" t="s">
        <v>292</v>
      </c>
      <c r="C11" s="46">
        <v>291</v>
      </c>
      <c r="D11" s="46">
        <v>241</v>
      </c>
      <c r="E11" s="300" t="s">
        <v>293</v>
      </c>
      <c r="F11" s="548" t="s">
        <v>294</v>
      </c>
      <c r="G11" s="549">
        <v>131</v>
      </c>
      <c r="H11" s="549">
        <v>128</v>
      </c>
    </row>
    <row r="12" spans="1:8" ht="12">
      <c r="A12" s="298" t="s">
        <v>295</v>
      </c>
      <c r="B12" s="299" t="s">
        <v>296</v>
      </c>
      <c r="C12" s="46">
        <v>63</v>
      </c>
      <c r="D12" s="46">
        <v>55</v>
      </c>
      <c r="E12" s="300" t="s">
        <v>78</v>
      </c>
      <c r="F12" s="548" t="s">
        <v>297</v>
      </c>
      <c r="G12" s="549">
        <v>205</v>
      </c>
      <c r="H12" s="549">
        <v>95</v>
      </c>
    </row>
    <row r="13" spans="1:18" ht="12">
      <c r="A13" s="298" t="s">
        <v>298</v>
      </c>
      <c r="B13" s="299" t="s">
        <v>299</v>
      </c>
      <c r="C13" s="46">
        <v>9</v>
      </c>
      <c r="D13" s="46">
        <v>9</v>
      </c>
      <c r="E13" s="301" t="s">
        <v>51</v>
      </c>
      <c r="F13" s="550" t="s">
        <v>300</v>
      </c>
      <c r="G13" s="547">
        <f>SUM(G9:G12)</f>
        <v>461</v>
      </c>
      <c r="H13" s="547">
        <f>SUM(H9:H12)</f>
        <v>381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24">
      <c r="A14" s="298" t="s">
        <v>301</v>
      </c>
      <c r="B14" s="299" t="s">
        <v>302</v>
      </c>
      <c r="C14" s="46">
        <f>223+196</f>
        <v>419</v>
      </c>
      <c r="D14" s="46">
        <v>251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f>78+38</f>
        <v>116</v>
      </c>
      <c r="D16" s="47">
        <f>39+147</f>
        <v>186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1615</v>
      </c>
      <c r="D19" s="49">
        <f>SUM(D9:D15)+D16</f>
        <v>1051</v>
      </c>
      <c r="E19" s="304" t="s">
        <v>317</v>
      </c>
      <c r="F19" s="551" t="s">
        <v>318</v>
      </c>
      <c r="G19" s="549">
        <v>1255</v>
      </c>
      <c r="H19" s="549">
        <v>374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562</v>
      </c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v>2779</v>
      </c>
      <c r="H21" s="549">
        <v>70341</v>
      </c>
    </row>
    <row r="22" spans="1:8" ht="24">
      <c r="A22" s="304" t="s">
        <v>324</v>
      </c>
      <c r="B22" s="305" t="s">
        <v>325</v>
      </c>
      <c r="C22" s="46">
        <v>1257</v>
      </c>
      <c r="D22" s="46">
        <v>403</v>
      </c>
      <c r="E22" s="304" t="s">
        <v>326</v>
      </c>
      <c r="F22" s="551" t="s">
        <v>327</v>
      </c>
      <c r="G22" s="549">
        <v>5</v>
      </c>
      <c r="H22" s="549">
        <v>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24">
      <c r="A24" s="298" t="s">
        <v>332</v>
      </c>
      <c r="B24" s="305" t="s">
        <v>333</v>
      </c>
      <c r="C24" s="46">
        <v>185</v>
      </c>
      <c r="D24" s="46">
        <v>11</v>
      </c>
      <c r="E24" s="301" t="s">
        <v>103</v>
      </c>
      <c r="F24" s="553" t="s">
        <v>334</v>
      </c>
      <c r="G24" s="547">
        <f>SUM(G19:G23)</f>
        <v>4601</v>
      </c>
      <c r="H24" s="547">
        <f>SUM(H19:H23)</f>
        <v>70720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36</v>
      </c>
      <c r="D25" s="46">
        <v>258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1478</v>
      </c>
      <c r="D26" s="49">
        <f>SUM(D22:D25)</f>
        <v>672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24">
      <c r="A28" s="127" t="s">
        <v>337</v>
      </c>
      <c r="B28" s="293" t="s">
        <v>338</v>
      </c>
      <c r="C28" s="50">
        <f>C26+C19</f>
        <v>3093</v>
      </c>
      <c r="D28" s="50">
        <f>D26+D19</f>
        <v>1723</v>
      </c>
      <c r="E28" s="127" t="s">
        <v>339</v>
      </c>
      <c r="F28" s="553" t="s">
        <v>340</v>
      </c>
      <c r="G28" s="547">
        <f>G13+G15+G24</f>
        <v>5062</v>
      </c>
      <c r="H28" s="547">
        <f>H13+H15+H24</f>
        <v>71101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1969</v>
      </c>
      <c r="D30" s="50">
        <f>IF((H28-D28)&gt;0,H28-D28,0)</f>
        <v>69378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856</v>
      </c>
      <c r="B31" s="306" t="s">
        <v>345</v>
      </c>
      <c r="C31" s="46"/>
      <c r="D31" s="46"/>
      <c r="E31" s="296" t="s">
        <v>859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3093</v>
      </c>
      <c r="D33" s="49">
        <f>D28-D31+D32</f>
        <v>1723</v>
      </c>
      <c r="E33" s="127" t="s">
        <v>353</v>
      </c>
      <c r="F33" s="553" t="s">
        <v>354</v>
      </c>
      <c r="G33" s="53">
        <f>G32-G31+G28</f>
        <v>5062</v>
      </c>
      <c r="H33" s="53">
        <f>H32-H31+H28</f>
        <v>71101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1969</v>
      </c>
      <c r="D34" s="50">
        <f>IF((H33-D33)&gt;0,H33-D33,0)</f>
        <v>69378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197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24">
      <c r="A36" s="309" t="s">
        <v>361</v>
      </c>
      <c r="B36" s="305" t="s">
        <v>362</v>
      </c>
      <c r="C36" s="46">
        <v>197</v>
      </c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24">
      <c r="A39" s="312" t="s">
        <v>367</v>
      </c>
      <c r="B39" s="129" t="s">
        <v>368</v>
      </c>
      <c r="C39" s="459">
        <f>+IF((G33-C33-C35)&gt;0,G33-C33-C35,0)</f>
        <v>1772</v>
      </c>
      <c r="D39" s="459">
        <f>+IF((H33-D33-D35)&gt;0,H33-D33-D35,0)</f>
        <v>69378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1772</v>
      </c>
      <c r="D41" s="52">
        <f>IF(H39=0,IF(D39-D40&gt;0,D39-D40+H40,0),IF(H39-H40&lt;0,H40-H39+D39,0))</f>
        <v>69378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5062</v>
      </c>
      <c r="D42" s="53">
        <f>D33+D35+D39</f>
        <v>71101</v>
      </c>
      <c r="E42" s="128" t="s">
        <v>380</v>
      </c>
      <c r="F42" s="129" t="s">
        <v>381</v>
      </c>
      <c r="G42" s="53">
        <f>G39+G33</f>
        <v>5062</v>
      </c>
      <c r="H42" s="53">
        <f>H39+H33</f>
        <v>71101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0" t="s">
        <v>866</v>
      </c>
      <c r="B45" s="590"/>
      <c r="C45" s="590"/>
      <c r="D45" s="590"/>
      <c r="E45" s="590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427" t="s">
        <v>875</v>
      </c>
      <c r="C48" s="427" t="s">
        <v>382</v>
      </c>
      <c r="D48" s="585"/>
      <c r="E48" s="585"/>
      <c r="F48" s="585"/>
      <c r="G48" s="585"/>
      <c r="H48" s="585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784</v>
      </c>
      <c r="D50" s="586"/>
      <c r="E50" s="586"/>
      <c r="F50" s="586"/>
      <c r="G50" s="586"/>
      <c r="H50" s="586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1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8">
      <selection activeCell="E84" sqref="E84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80" t="s">
        <v>1</v>
      </c>
      <c r="B3" s="581"/>
      <c r="C3" s="581"/>
      <c r="D3" s="581"/>
      <c r="E3" s="461" t="s">
        <v>868</v>
      </c>
      <c r="F3" s="217" t="s">
        <v>2</v>
      </c>
      <c r="G3" s="172"/>
      <c r="H3" s="460">
        <v>121084839</v>
      </c>
    </row>
    <row r="4" spans="1:8" ht="15">
      <c r="A4" s="580" t="s">
        <v>3</v>
      </c>
      <c r="B4" s="592"/>
      <c r="C4" s="592"/>
      <c r="D4" s="592"/>
      <c r="E4" s="503" t="s">
        <v>872</v>
      </c>
      <c r="F4" s="582" t="s">
        <v>4</v>
      </c>
      <c r="G4" s="583"/>
      <c r="H4" s="460" t="s">
        <v>159</v>
      </c>
    </row>
    <row r="5" spans="1:8" ht="15">
      <c r="A5" s="580" t="s">
        <v>5</v>
      </c>
      <c r="B5" s="581"/>
      <c r="C5" s="581"/>
      <c r="D5" s="581"/>
      <c r="E5" s="504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4365</v>
      </c>
      <c r="D11" s="151">
        <v>4365</v>
      </c>
      <c r="E11" s="237" t="s">
        <v>22</v>
      </c>
      <c r="F11" s="242" t="s">
        <v>23</v>
      </c>
      <c r="G11" s="152">
        <v>120000</v>
      </c>
      <c r="H11" s="152">
        <v>2800</v>
      </c>
    </row>
    <row r="12" spans="1:8" ht="15">
      <c r="A12" s="235" t="s">
        <v>24</v>
      </c>
      <c r="B12" s="241" t="s">
        <v>25</v>
      </c>
      <c r="C12" s="151">
        <v>2627</v>
      </c>
      <c r="D12" s="151">
        <f>2994-414</f>
        <v>2580</v>
      </c>
      <c r="E12" s="237" t="s">
        <v>26</v>
      </c>
      <c r="F12" s="242" t="s">
        <v>27</v>
      </c>
      <c r="G12" s="153">
        <v>120000</v>
      </c>
      <c r="H12" s="153">
        <v>2800</v>
      </c>
    </row>
    <row r="13" spans="1:8" ht="15">
      <c r="A13" s="235" t="s">
        <v>28</v>
      </c>
      <c r="B13" s="241" t="s">
        <v>29</v>
      </c>
      <c r="C13" s="151">
        <v>12</v>
      </c>
      <c r="D13" s="151">
        <v>16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1533</v>
      </c>
      <c r="D15" s="151">
        <f>1530-844</f>
        <v>686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28</v>
      </c>
      <c r="D16" s="151">
        <f>70-37</f>
        <v>33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f>156+5</f>
        <v>161</v>
      </c>
      <c r="D17" s="151">
        <v>156</v>
      </c>
      <c r="E17" s="243" t="s">
        <v>46</v>
      </c>
      <c r="F17" s="245" t="s">
        <v>47</v>
      </c>
      <c r="G17" s="154">
        <f>G11+G14+G15+G16</f>
        <v>120000</v>
      </c>
      <c r="H17" s="154">
        <f>H11+H14+H15+H16</f>
        <v>2800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8726</v>
      </c>
      <c r="D19" s="155">
        <f>SUM(D11:D18)</f>
        <v>7836</v>
      </c>
      <c r="E19" s="237" t="s">
        <v>53</v>
      </c>
      <c r="F19" s="242" t="s">
        <v>54</v>
      </c>
      <c r="G19" s="152">
        <v>1817</v>
      </c>
      <c r="H19" s="152">
        <v>1817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615</v>
      </c>
      <c r="H21" s="156">
        <f>SUM(H22:H24)</f>
        <v>614.6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937</v>
      </c>
      <c r="D23" s="151">
        <v>937</v>
      </c>
      <c r="E23" s="253" t="s">
        <v>68</v>
      </c>
      <c r="F23" s="242" t="s">
        <v>69</v>
      </c>
      <c r="G23" s="152">
        <v>40</v>
      </c>
      <c r="H23" s="152">
        <v>40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575</v>
      </c>
      <c r="H24" s="152">
        <v>574.6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2432</v>
      </c>
      <c r="H25" s="154">
        <f>H19+H20+H21</f>
        <v>2431.6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937</v>
      </c>
      <c r="D27" s="155">
        <f>SUM(D23:D26)</f>
        <v>937</v>
      </c>
      <c r="E27" s="253" t="s">
        <v>83</v>
      </c>
      <c r="F27" s="242" t="s">
        <v>84</v>
      </c>
      <c r="G27" s="154">
        <f>SUM(G28:G30)</f>
        <v>25141</v>
      </c>
      <c r="H27" s="154">
        <f>SUM(H28:H30)</f>
        <v>71315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49802</v>
      </c>
      <c r="H28" s="152">
        <v>95976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-24661</v>
      </c>
      <c r="H29" s="316">
        <v>-24661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>
        <v>0</v>
      </c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1772</v>
      </c>
      <c r="H31" s="152">
        <v>71026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26913</v>
      </c>
      <c r="H33" s="154">
        <f>H27+H31+H32</f>
        <v>142341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19784</v>
      </c>
      <c r="D34" s="155">
        <f>SUM(D35:D38)</f>
        <v>39075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7025</v>
      </c>
      <c r="D35" s="151">
        <v>20916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149345</v>
      </c>
      <c r="H36" s="154">
        <f>H25+H17+H33</f>
        <v>147572.6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12759</v>
      </c>
      <c r="D37" s="151">
        <v>18159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19784</v>
      </c>
      <c r="D45" s="155">
        <f>D34+D39+D44</f>
        <v>39075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29337</v>
      </c>
      <c r="H47" s="152">
        <v>29337</v>
      </c>
      <c r="M47" s="157"/>
    </row>
    <row r="48" spans="1:8" ht="15">
      <c r="A48" s="235" t="s">
        <v>147</v>
      </c>
      <c r="B48" s="244" t="s">
        <v>148</v>
      </c>
      <c r="C48" s="151">
        <f>82031-27796</f>
        <v>54235</v>
      </c>
      <c r="D48" s="151">
        <v>54209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27796</v>
      </c>
      <c r="D49" s="151">
        <v>30395</v>
      </c>
      <c r="E49" s="251" t="s">
        <v>51</v>
      </c>
      <c r="F49" s="245" t="s">
        <v>153</v>
      </c>
      <c r="G49" s="154">
        <f>SUM(G43:G48)</f>
        <v>29337</v>
      </c>
      <c r="H49" s="154">
        <f>SUM(H43:H48)</f>
        <v>29337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82031</v>
      </c>
      <c r="D51" s="155">
        <f>SUM(D47:D50)</f>
        <v>84604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111478</v>
      </c>
      <c r="D55" s="155">
        <f>D19+D20+D21+D27+D32+D45+D51+D53+D54</f>
        <v>132452</v>
      </c>
      <c r="E55" s="237" t="s">
        <v>172</v>
      </c>
      <c r="F55" s="261" t="s">
        <v>173</v>
      </c>
      <c r="G55" s="154">
        <f>G49+G51+G52+G53+G54</f>
        <v>29337</v>
      </c>
      <c r="H55" s="154">
        <f>H49+H51+H52+H53+H54</f>
        <v>29337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</v>
      </c>
      <c r="D58" s="151">
        <v>8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1120</v>
      </c>
      <c r="D60" s="151">
        <v>1451</v>
      </c>
      <c r="E60" s="237" t="s">
        <v>185</v>
      </c>
      <c r="F60" s="242" t="s">
        <v>186</v>
      </c>
      <c r="G60" s="152">
        <v>1773</v>
      </c>
      <c r="H60" s="152">
        <v>600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100181</v>
      </c>
      <c r="H61" s="154">
        <f>SUM(H62:H68)</f>
        <v>82734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91508+4737+1467</f>
        <v>97712</v>
      </c>
      <c r="H63" s="152">
        <f>5269+74946</f>
        <v>80215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1124</v>
      </c>
      <c r="D64" s="155">
        <f>SUM(D58:D63)</f>
        <v>1459</v>
      </c>
      <c r="E64" s="237" t="s">
        <v>200</v>
      </c>
      <c r="F64" s="242" t="s">
        <v>201</v>
      </c>
      <c r="G64" s="152">
        <f>145+26</f>
        <v>171</v>
      </c>
      <c r="H64" s="152">
        <v>124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2298</v>
      </c>
      <c r="H65" s="152">
        <v>2394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f>84+1</f>
        <v>85</v>
      </c>
      <c r="D68" s="151">
        <f>70+1</f>
        <v>71</v>
      </c>
      <c r="E68" s="237" t="s">
        <v>213</v>
      </c>
      <c r="F68" s="242" t="s">
        <v>214</v>
      </c>
      <c r="G68" s="152"/>
      <c r="H68" s="152">
        <v>1</v>
      </c>
    </row>
    <row r="69" spans="1:8" ht="15">
      <c r="A69" s="235" t="s">
        <v>215</v>
      </c>
      <c r="B69" s="241" t="s">
        <v>216</v>
      </c>
      <c r="C69" s="151">
        <f>176+389</f>
        <v>565</v>
      </c>
      <c r="D69" s="151">
        <f>181+454</f>
        <v>635</v>
      </c>
      <c r="E69" s="251" t="s">
        <v>78</v>
      </c>
      <c r="F69" s="242" t="s">
        <v>217</v>
      </c>
      <c r="G69" s="152">
        <f>5200+8975-1</f>
        <v>14174</v>
      </c>
      <c r="H69" s="152">
        <f>19588+469</f>
        <v>20057</v>
      </c>
    </row>
    <row r="70" spans="1:8" ht="25.5">
      <c r="A70" s="235" t="s">
        <v>218</v>
      </c>
      <c r="B70" s="241" t="s">
        <v>219</v>
      </c>
      <c r="C70" s="151">
        <f>8483+104567-22</f>
        <v>113028</v>
      </c>
      <c r="D70" s="151">
        <f>98910+8771</f>
        <v>107681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116128</v>
      </c>
      <c r="H71" s="161">
        <f>H59+H60+H61+H69+H70</f>
        <v>103391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f>411+4-197-1</f>
        <v>217</v>
      </c>
      <c r="D72" s="151">
        <f>411+259</f>
        <v>670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f>2+44604+21710+1947</f>
        <v>68263</v>
      </c>
      <c r="D74" s="151">
        <f>30892+6369</f>
        <v>37261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182158</v>
      </c>
      <c r="D75" s="155">
        <f>SUM(D67:D74)</f>
        <v>146318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116128</v>
      </c>
      <c r="H79" s="162">
        <f>H71+H74+H75+H76</f>
        <v>103391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f>2+22</f>
        <v>24</v>
      </c>
      <c r="D87" s="151">
        <v>54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19+7</f>
        <v>26</v>
      </c>
      <c r="D88" s="151">
        <v>18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50</v>
      </c>
      <c r="D91" s="155">
        <f>SUM(D87:D90)</f>
        <v>72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183332</v>
      </c>
      <c r="D93" s="155">
        <f>D64+D75+D84+D91+D92</f>
        <v>147849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7" t="s">
        <v>268</v>
      </c>
      <c r="B94" s="288" t="s">
        <v>269</v>
      </c>
      <c r="C94" s="164">
        <f>C93+C55</f>
        <v>294810</v>
      </c>
      <c r="D94" s="164">
        <f>D93+D55</f>
        <v>280301</v>
      </c>
      <c r="E94" s="448" t="s">
        <v>270</v>
      </c>
      <c r="F94" s="289" t="s">
        <v>271</v>
      </c>
      <c r="G94" s="165">
        <f>G36+G39+G55+G79</f>
        <v>294810</v>
      </c>
      <c r="H94" s="165">
        <f>H36+H39+H55+H79</f>
        <v>280300.6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578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7" ht="15">
      <c r="A100" s="173"/>
      <c r="B100" s="173"/>
      <c r="C100" s="584" t="s">
        <v>860</v>
      </c>
      <c r="D100" s="591"/>
      <c r="E100" s="591"/>
      <c r="G100" s="1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D11:D18 C11:C14 C16: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2" bottom="0.2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0">
      <selection activeCell="C25" sqref="C2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375" style="542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.75">
      <c r="A2" s="320" t="s">
        <v>383</v>
      </c>
      <c r="B2" s="320"/>
      <c r="C2" s="321"/>
      <c r="D2" s="575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ТЕХНОЛОГИЧЕН ЦЕНТЪР- ИНСТИТУТ ПО МИКРОЕЛЕКТРОНИКА АД</v>
      </c>
      <c r="C4" s="540" t="s">
        <v>2</v>
      </c>
      <c r="D4" s="540">
        <f>'справка №1-БАЛАНС'!H3</f>
        <v>121084839</v>
      </c>
      <c r="E4" s="323"/>
      <c r="F4" s="323"/>
    </row>
    <row r="5" spans="1:4" ht="15">
      <c r="A5" s="469" t="s">
        <v>275</v>
      </c>
      <c r="B5" s="469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01.01.2010-30.06.2010г.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205</v>
      </c>
      <c r="D10" s="54">
        <f>7309-700</f>
        <v>6609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-709</v>
      </c>
      <c r="D11" s="54">
        <f>-39277-4-213-19+451</f>
        <v>-39062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-78</v>
      </c>
      <c r="D13" s="54">
        <f>-105-33-93</f>
        <v>-231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259-225</f>
        <v>34</v>
      </c>
      <c r="D14" s="54">
        <f>-88-84</f>
        <v>-172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-250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>
        <f>-615-1</f>
        <v>-616</v>
      </c>
      <c r="D17" s="54">
        <f>-1481-7</f>
        <v>-1488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f>2-3</f>
        <v>-1</v>
      </c>
      <c r="D18" s="54">
        <f>-28+3</f>
        <v>-25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-34334</f>
        <v>-34334</v>
      </c>
      <c r="D19" s="54">
        <f>10442-700+177102-101783</f>
        <v>85061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-35499</v>
      </c>
      <c r="D20" s="55">
        <f>SUM(D10:D19)</f>
        <v>50442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-1086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205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f>-15458-25</f>
        <v>-15483</v>
      </c>
      <c r="D24" s="54">
        <f>-3360-136876</f>
        <v>-140236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f>9800+2599+22</f>
        <v>12421</v>
      </c>
      <c r="D25" s="54">
        <f>10952+51428</f>
        <v>62380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1543</v>
      </c>
      <c r="D26" s="54">
        <v>2824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-25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19316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562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17453</v>
      </c>
      <c r="D32" s="55">
        <f>SUM(D22:D31)</f>
        <v>-75032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29337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f>39656</f>
        <v>39656</v>
      </c>
      <c r="D36" s="54">
        <f>46374</f>
        <v>46374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-21627</v>
      </c>
      <c r="D37" s="54">
        <v>-51389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-5</v>
      </c>
      <c r="D39" s="54">
        <v>-451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18024</v>
      </c>
      <c r="D42" s="55">
        <f>SUM(D34:D41)</f>
        <v>23871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-22</v>
      </c>
      <c r="D43" s="55">
        <f>D42+D32+D20</f>
        <v>-719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72</v>
      </c>
      <c r="D44" s="132">
        <v>791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50</v>
      </c>
      <c r="D45" s="55">
        <f>D44+D43</f>
        <v>72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50</v>
      </c>
      <c r="D46" s="56">
        <v>72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16.07.2010г.</v>
      </c>
      <c r="B49" s="436"/>
      <c r="C49" s="574"/>
      <c r="D49" s="576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/>
      <c r="C51" s="577"/>
      <c r="D51" s="319"/>
      <c r="G51" s="133"/>
      <c r="H51" s="133"/>
    </row>
    <row r="52" spans="1:8" ht="12">
      <c r="A52" s="318"/>
      <c r="B52" s="436" t="s">
        <v>784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1" bottom="0.47" header="0.17" footer="0.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I28" sqref="I28"/>
    </sheetView>
  </sheetViews>
  <sheetFormatPr defaultColWidth="9.00390625" defaultRowHeight="12.75"/>
  <cols>
    <col min="1" max="1" width="48.50390625" style="538" customWidth="1"/>
    <col min="2" max="2" width="8.375" style="539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1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6" t="str">
        <f>'справка №1-БАЛАНС'!E3</f>
        <v>ТЕХНОЛОГИЧЕН ЦЕНТЪР- ИНСТИТУТ ПО МИКРОЕЛЕКТРОНИКА АД</v>
      </c>
      <c r="C3" s="596"/>
      <c r="D3" s="596"/>
      <c r="E3" s="596"/>
      <c r="F3" s="596"/>
      <c r="G3" s="596"/>
      <c r="H3" s="596"/>
      <c r="I3" s="596"/>
      <c r="J3" s="475"/>
      <c r="K3" s="598" t="s">
        <v>2</v>
      </c>
      <c r="L3" s="598"/>
      <c r="M3" s="477">
        <f>'справка №1-БАЛАНС'!H3</f>
        <v>121084839</v>
      </c>
      <c r="N3" s="2"/>
    </row>
    <row r="4" spans="1:15" s="531" customFormat="1" ht="13.5" customHeight="1">
      <c r="A4" s="466" t="s">
        <v>461</v>
      </c>
      <c r="B4" s="596" t="str">
        <f>'справка №1-БАЛАНС'!E4</f>
        <v> 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600" t="str">
        <f>'справка №1-БАЛАНС'!E5</f>
        <v>01.01.2010-30.06.2010г.</v>
      </c>
      <c r="C5" s="600"/>
      <c r="D5" s="600"/>
      <c r="E5" s="600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2800</v>
      </c>
      <c r="D11" s="58">
        <f>'справка №1-БАЛАНС'!H19</f>
        <v>1817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40</v>
      </c>
      <c r="H11" s="60">
        <v>574.6</v>
      </c>
      <c r="I11" s="58">
        <f>'справка №1-БАЛАНС'!H28+'справка №1-БАЛАНС'!H31</f>
        <v>167002</v>
      </c>
      <c r="J11" s="58">
        <f>'справка №1-БАЛАНС'!H29+'справка №1-БАЛАНС'!H32</f>
        <v>-24661</v>
      </c>
      <c r="K11" s="60"/>
      <c r="L11" s="344">
        <f>SUM(C11:K11)</f>
        <v>147572.6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2800</v>
      </c>
      <c r="D15" s="61">
        <f aca="true" t="shared" si="2" ref="D15:M15">D11+D12</f>
        <v>1817</v>
      </c>
      <c r="E15" s="61">
        <f t="shared" si="2"/>
        <v>0</v>
      </c>
      <c r="F15" s="61">
        <f t="shared" si="2"/>
        <v>0</v>
      </c>
      <c r="G15" s="61">
        <f t="shared" si="2"/>
        <v>40</v>
      </c>
      <c r="H15" s="61">
        <f t="shared" si="2"/>
        <v>574.6</v>
      </c>
      <c r="I15" s="61">
        <f t="shared" si="2"/>
        <v>167002</v>
      </c>
      <c r="J15" s="61">
        <f t="shared" si="2"/>
        <v>-24661</v>
      </c>
      <c r="K15" s="61">
        <f t="shared" si="2"/>
        <v>0</v>
      </c>
      <c r="L15" s="344">
        <f t="shared" si="1"/>
        <v>147572.6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1772</v>
      </c>
      <c r="J16" s="345">
        <f>+'справка №1-БАЛАНС'!G32</f>
        <v>0</v>
      </c>
      <c r="K16" s="60"/>
      <c r="L16" s="344">
        <f t="shared" si="1"/>
        <v>1772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117200</v>
      </c>
      <c r="D28" s="60"/>
      <c r="E28" s="60"/>
      <c r="F28" s="60"/>
      <c r="G28" s="60"/>
      <c r="H28" s="60"/>
      <c r="I28" s="60">
        <v>-117200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120000</v>
      </c>
      <c r="D29" s="59">
        <f aca="true" t="shared" si="6" ref="D29:M29">D17+D20+D21+D24+D28+D27+D15+D16</f>
        <v>1817</v>
      </c>
      <c r="E29" s="59">
        <f t="shared" si="6"/>
        <v>0</v>
      </c>
      <c r="F29" s="59">
        <f t="shared" si="6"/>
        <v>0</v>
      </c>
      <c r="G29" s="59">
        <f t="shared" si="6"/>
        <v>40</v>
      </c>
      <c r="H29" s="59">
        <f t="shared" si="6"/>
        <v>574.6</v>
      </c>
      <c r="I29" s="59">
        <f t="shared" si="6"/>
        <v>51574</v>
      </c>
      <c r="J29" s="59">
        <f t="shared" si="6"/>
        <v>-24661</v>
      </c>
      <c r="K29" s="59">
        <f t="shared" si="6"/>
        <v>0</v>
      </c>
      <c r="L29" s="344">
        <f t="shared" si="1"/>
        <v>149344.6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120000</v>
      </c>
      <c r="D32" s="59">
        <f t="shared" si="7"/>
        <v>1817</v>
      </c>
      <c r="E32" s="59">
        <f t="shared" si="7"/>
        <v>0</v>
      </c>
      <c r="F32" s="59">
        <f t="shared" si="7"/>
        <v>0</v>
      </c>
      <c r="G32" s="59">
        <f t="shared" si="7"/>
        <v>40</v>
      </c>
      <c r="H32" s="59">
        <f t="shared" si="7"/>
        <v>574.6</v>
      </c>
      <c r="I32" s="59">
        <f t="shared" si="7"/>
        <v>51574</v>
      </c>
      <c r="J32" s="59">
        <f t="shared" si="7"/>
        <v>-24661</v>
      </c>
      <c r="K32" s="59">
        <f t="shared" si="7"/>
        <v>0</v>
      </c>
      <c r="L32" s="344">
        <f t="shared" si="1"/>
        <v>149344.6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9">
        <f>L32-'справка №1-БАЛАНС'!G36</f>
        <v>-0.39999999999417923</v>
      </c>
      <c r="M34" s="348"/>
      <c r="N34" s="11"/>
    </row>
    <row r="35" spans="1:14" ht="14.25" customHeight="1">
      <c r="A35" s="597" t="s">
        <v>867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tr">
        <f>'справка №1-БАЛАНС'!A98</f>
        <v>Дата на съставяне: 16.07.2010г.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862</v>
      </c>
      <c r="K38" s="15"/>
      <c r="L38" s="595"/>
      <c r="M38" s="595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C16">
      <selection activeCell="R37" sqref="R3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ТЕХНОЛОГИЧЕН ЦЕНТЪР- ИНСТИТУТ ПО МИКРОЕЛЕКТРОНИКА АД</v>
      </c>
      <c r="D2" s="615"/>
      <c r="E2" s="615"/>
      <c r="F2" s="615"/>
      <c r="G2" s="615"/>
      <c r="H2" s="615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121084839</v>
      </c>
      <c r="P2" s="482"/>
      <c r="Q2" s="482"/>
      <c r="R2" s="525"/>
    </row>
    <row r="3" spans="1:18" ht="15">
      <c r="A3" s="613" t="s">
        <v>5</v>
      </c>
      <c r="B3" s="614"/>
      <c r="C3" s="616" t="str">
        <f>'справка №1-БАЛАНС'!E5</f>
        <v>01.01.2010-30.06.2010г.</v>
      </c>
      <c r="D3" s="616"/>
      <c r="E3" s="616"/>
      <c r="F3" s="484"/>
      <c r="G3" s="484"/>
      <c r="H3" s="484"/>
      <c r="I3" s="484"/>
      <c r="J3" s="484"/>
      <c r="K3" s="484"/>
      <c r="L3" s="484"/>
      <c r="M3" s="605" t="s">
        <v>4</v>
      </c>
      <c r="N3" s="605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60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4365</v>
      </c>
      <c r="E9" s="189"/>
      <c r="F9" s="189"/>
      <c r="G9" s="74">
        <f>D9+E9-F9</f>
        <v>4365</v>
      </c>
      <c r="H9" s="65"/>
      <c r="I9" s="65"/>
      <c r="J9" s="74">
        <f>G9+H9-I9</f>
        <v>4365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4365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2994</v>
      </c>
      <c r="E10" s="189">
        <v>107</v>
      </c>
      <c r="F10" s="189"/>
      <c r="G10" s="74">
        <f aca="true" t="shared" si="2" ref="G10:G39">D10+E10-F10</f>
        <v>3101</v>
      </c>
      <c r="H10" s="65"/>
      <c r="I10" s="65"/>
      <c r="J10" s="74">
        <f aca="true" t="shared" si="3" ref="J10:J39">G10+H10-I10</f>
        <v>3101</v>
      </c>
      <c r="K10" s="65">
        <v>413</v>
      </c>
      <c r="L10" s="65">
        <v>61</v>
      </c>
      <c r="M10" s="65"/>
      <c r="N10" s="74">
        <f aca="true" t="shared" si="4" ref="N10:N39">K10+L10-M10</f>
        <v>474</v>
      </c>
      <c r="O10" s="65"/>
      <c r="P10" s="65"/>
      <c r="Q10" s="74">
        <f t="shared" si="0"/>
        <v>474</v>
      </c>
      <c r="R10" s="74">
        <f t="shared" si="1"/>
        <v>2627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103</v>
      </c>
      <c r="E11" s="189"/>
      <c r="F11" s="189"/>
      <c r="G11" s="74">
        <f t="shared" si="2"/>
        <v>103</v>
      </c>
      <c r="H11" s="65"/>
      <c r="I11" s="65"/>
      <c r="J11" s="74">
        <f t="shared" si="3"/>
        <v>103</v>
      </c>
      <c r="K11" s="65">
        <v>88</v>
      </c>
      <c r="L11" s="65">
        <v>3</v>
      </c>
      <c r="M11" s="65"/>
      <c r="N11" s="74">
        <f t="shared" si="4"/>
        <v>91</v>
      </c>
      <c r="O11" s="65"/>
      <c r="P11" s="65"/>
      <c r="Q11" s="74">
        <f t="shared" si="0"/>
        <v>91</v>
      </c>
      <c r="R11" s="74">
        <f t="shared" si="1"/>
        <v>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1530</v>
      </c>
      <c r="E13" s="189">
        <v>1265</v>
      </c>
      <c r="F13" s="189">
        <v>628</v>
      </c>
      <c r="G13" s="74">
        <f t="shared" si="2"/>
        <v>2167</v>
      </c>
      <c r="H13" s="65"/>
      <c r="I13" s="65"/>
      <c r="J13" s="74">
        <f t="shared" si="3"/>
        <v>2167</v>
      </c>
      <c r="K13" s="65">
        <v>844</v>
      </c>
      <c r="L13" s="65">
        <v>222</v>
      </c>
      <c r="M13" s="65">
        <v>432</v>
      </c>
      <c r="N13" s="74">
        <f t="shared" si="4"/>
        <v>634</v>
      </c>
      <c r="O13" s="65"/>
      <c r="P13" s="65"/>
      <c r="Q13" s="74">
        <f t="shared" si="0"/>
        <v>634</v>
      </c>
      <c r="R13" s="74">
        <f t="shared" si="1"/>
        <v>1533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70</v>
      </c>
      <c r="E14" s="189"/>
      <c r="F14" s="189"/>
      <c r="G14" s="74">
        <f t="shared" si="2"/>
        <v>70</v>
      </c>
      <c r="H14" s="65"/>
      <c r="I14" s="65"/>
      <c r="J14" s="74">
        <f t="shared" si="3"/>
        <v>70</v>
      </c>
      <c r="K14" s="65">
        <v>37</v>
      </c>
      <c r="L14" s="65">
        <v>5</v>
      </c>
      <c r="M14" s="65"/>
      <c r="N14" s="74">
        <f t="shared" si="4"/>
        <v>42</v>
      </c>
      <c r="O14" s="65"/>
      <c r="P14" s="65"/>
      <c r="Q14" s="74">
        <f t="shared" si="0"/>
        <v>42</v>
      </c>
      <c r="R14" s="74">
        <f t="shared" si="1"/>
        <v>28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36">
      <c r="A15" s="454" t="s">
        <v>863</v>
      </c>
      <c r="B15" s="374" t="s">
        <v>864</v>
      </c>
      <c r="C15" s="455" t="s">
        <v>865</v>
      </c>
      <c r="D15" s="456">
        <v>156</v>
      </c>
      <c r="E15" s="456">
        <v>5</v>
      </c>
      <c r="F15" s="456"/>
      <c r="G15" s="74">
        <f t="shared" si="2"/>
        <v>161</v>
      </c>
      <c r="H15" s="457"/>
      <c r="I15" s="457"/>
      <c r="J15" s="74">
        <f t="shared" si="3"/>
        <v>161</v>
      </c>
      <c r="K15" s="457">
        <v>0</v>
      </c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161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9218</v>
      </c>
      <c r="E17" s="194">
        <f>SUM(E9:E16)</f>
        <v>1377</v>
      </c>
      <c r="F17" s="194">
        <f>SUM(F9:F16)</f>
        <v>628</v>
      </c>
      <c r="G17" s="74">
        <f t="shared" si="2"/>
        <v>9967</v>
      </c>
      <c r="H17" s="75">
        <f>SUM(H9:H16)</f>
        <v>0</v>
      </c>
      <c r="I17" s="75">
        <f>SUM(I9:I16)</f>
        <v>0</v>
      </c>
      <c r="J17" s="74">
        <f t="shared" si="3"/>
        <v>9967</v>
      </c>
      <c r="K17" s="75">
        <f>SUM(K9:K16)</f>
        <v>1382</v>
      </c>
      <c r="L17" s="75">
        <f>SUM(L9:L16)</f>
        <v>291</v>
      </c>
      <c r="M17" s="75">
        <f>SUM(M9:M16)</f>
        <v>432</v>
      </c>
      <c r="N17" s="74">
        <f t="shared" si="4"/>
        <v>1241</v>
      </c>
      <c r="O17" s="75">
        <f>SUM(O9:O16)</f>
        <v>0</v>
      </c>
      <c r="P17" s="75">
        <f>SUM(P9:P16)</f>
        <v>0</v>
      </c>
      <c r="Q17" s="74">
        <f t="shared" si="5"/>
        <v>1241</v>
      </c>
      <c r="R17" s="74">
        <f t="shared" si="6"/>
        <v>8726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937</v>
      </c>
      <c r="E21" s="189"/>
      <c r="F21" s="189"/>
      <c r="G21" s="74">
        <f t="shared" si="2"/>
        <v>937</v>
      </c>
      <c r="H21" s="65"/>
      <c r="I21" s="65"/>
      <c r="J21" s="74">
        <f t="shared" si="3"/>
        <v>937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937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8</v>
      </c>
      <c r="E22" s="189"/>
      <c r="F22" s="189"/>
      <c r="G22" s="74">
        <f t="shared" si="2"/>
        <v>8</v>
      </c>
      <c r="H22" s="65"/>
      <c r="I22" s="65"/>
      <c r="J22" s="74">
        <f t="shared" si="3"/>
        <v>8</v>
      </c>
      <c r="K22" s="65">
        <v>8</v>
      </c>
      <c r="L22" s="65"/>
      <c r="M22" s="65"/>
      <c r="N22" s="74">
        <f t="shared" si="4"/>
        <v>8</v>
      </c>
      <c r="O22" s="65"/>
      <c r="P22" s="65"/>
      <c r="Q22" s="74">
        <f t="shared" si="5"/>
        <v>8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945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945</v>
      </c>
      <c r="H25" s="66">
        <f t="shared" si="7"/>
        <v>0</v>
      </c>
      <c r="I25" s="66">
        <f t="shared" si="7"/>
        <v>0</v>
      </c>
      <c r="J25" s="67">
        <f t="shared" si="3"/>
        <v>945</v>
      </c>
      <c r="K25" s="66">
        <f t="shared" si="7"/>
        <v>8</v>
      </c>
      <c r="L25" s="66">
        <f t="shared" si="7"/>
        <v>0</v>
      </c>
      <c r="M25" s="66">
        <f t="shared" si="7"/>
        <v>0</v>
      </c>
      <c r="N25" s="67">
        <f t="shared" si="4"/>
        <v>8</v>
      </c>
      <c r="O25" s="66">
        <f t="shared" si="7"/>
        <v>0</v>
      </c>
      <c r="P25" s="66">
        <f t="shared" si="7"/>
        <v>0</v>
      </c>
      <c r="Q25" s="67">
        <f t="shared" si="5"/>
        <v>8</v>
      </c>
      <c r="R25" s="67">
        <f t="shared" si="6"/>
        <v>937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39075</v>
      </c>
      <c r="E27" s="192">
        <f aca="true" t="shared" si="8" ref="E27:P27">SUM(E28:E31)</f>
        <v>6625</v>
      </c>
      <c r="F27" s="192">
        <f t="shared" si="8"/>
        <v>25916</v>
      </c>
      <c r="G27" s="71">
        <f t="shared" si="2"/>
        <v>19784</v>
      </c>
      <c r="H27" s="70">
        <f t="shared" si="8"/>
        <v>0</v>
      </c>
      <c r="I27" s="70">
        <f t="shared" si="8"/>
        <v>0</v>
      </c>
      <c r="J27" s="71">
        <f t="shared" si="3"/>
        <v>19784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19784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20916</v>
      </c>
      <c r="E28" s="189">
        <f>6000+25</f>
        <v>6025</v>
      </c>
      <c r="F28" s="189">
        <f>19316+600</f>
        <v>19916</v>
      </c>
      <c r="G28" s="74">
        <f t="shared" si="2"/>
        <v>7025</v>
      </c>
      <c r="H28" s="65"/>
      <c r="I28" s="65"/>
      <c r="J28" s="74">
        <f t="shared" si="3"/>
        <v>7025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7025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18159</v>
      </c>
      <c r="E30" s="189">
        <f>600</f>
        <v>600</v>
      </c>
      <c r="F30" s="189">
        <v>6000</v>
      </c>
      <c r="G30" s="74">
        <f t="shared" si="2"/>
        <v>12759</v>
      </c>
      <c r="H30" s="72"/>
      <c r="I30" s="72"/>
      <c r="J30" s="74">
        <f t="shared" si="3"/>
        <v>12759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12759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39075</v>
      </c>
      <c r="E38" s="194">
        <f aca="true" t="shared" si="12" ref="E38:P38">E27+E32+E37</f>
        <v>6625</v>
      </c>
      <c r="F38" s="194">
        <f t="shared" si="12"/>
        <v>25916</v>
      </c>
      <c r="G38" s="74">
        <f t="shared" si="2"/>
        <v>19784</v>
      </c>
      <c r="H38" s="75">
        <f t="shared" si="12"/>
        <v>0</v>
      </c>
      <c r="I38" s="75">
        <f t="shared" si="12"/>
        <v>0</v>
      </c>
      <c r="J38" s="74">
        <f t="shared" si="3"/>
        <v>19784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19784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49238</v>
      </c>
      <c r="E40" s="437">
        <f>E17+E18+E19+E25+E38+E39</f>
        <v>8002</v>
      </c>
      <c r="F40" s="437">
        <f aca="true" t="shared" si="13" ref="F40:R40">F17+F18+F19+F25+F38+F39</f>
        <v>26544</v>
      </c>
      <c r="G40" s="437">
        <f t="shared" si="13"/>
        <v>30696</v>
      </c>
      <c r="H40" s="437">
        <f t="shared" si="13"/>
        <v>0</v>
      </c>
      <c r="I40" s="437">
        <f t="shared" si="13"/>
        <v>0</v>
      </c>
      <c r="J40" s="437">
        <f t="shared" si="13"/>
        <v>30696</v>
      </c>
      <c r="K40" s="437">
        <f t="shared" si="13"/>
        <v>1390</v>
      </c>
      <c r="L40" s="437">
        <f t="shared" si="13"/>
        <v>291</v>
      </c>
      <c r="M40" s="437">
        <f t="shared" si="13"/>
        <v>432</v>
      </c>
      <c r="N40" s="437">
        <f t="shared" si="13"/>
        <v>1249</v>
      </c>
      <c r="O40" s="437">
        <f t="shared" si="13"/>
        <v>0</v>
      </c>
      <c r="P40" s="437">
        <f t="shared" si="13"/>
        <v>0</v>
      </c>
      <c r="Q40" s="437">
        <f t="shared" si="13"/>
        <v>1249</v>
      </c>
      <c r="R40" s="437">
        <f t="shared" si="13"/>
        <v>29447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2"/>
      <c r="L44" s="612"/>
      <c r="M44" s="612"/>
      <c r="N44" s="612"/>
      <c r="O44" s="601" t="s">
        <v>784</v>
      </c>
      <c r="P44" s="602"/>
      <c r="Q44" s="602"/>
      <c r="R44" s="602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C92" sqref="C92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20" t="s">
        <v>611</v>
      </c>
      <c r="B1" s="620"/>
      <c r="C1" s="620"/>
      <c r="D1" s="620"/>
      <c r="E1" s="620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23" t="str">
        <f>'справка №1-БАЛАНС'!E3</f>
        <v>ТЕХНОЛОГИЧЕН ЦЕНТЪР- ИНСТИТУТ ПО МИКРОЕЛЕКТРОНИКА АД</v>
      </c>
      <c r="C3" s="624"/>
      <c r="D3" s="525" t="s">
        <v>2</v>
      </c>
      <c r="E3" s="107">
        <f>'справка №1-БАЛАНС'!H3</f>
        <v>121084839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21" t="str">
        <f>'справка №1-БАЛАНС'!E5</f>
        <v>01.01.2010-30.06.2010г.</v>
      </c>
      <c r="C4" s="622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612</v>
      </c>
      <c r="B5" s="495"/>
      <c r="C5" s="496"/>
      <c r="D5" s="107"/>
      <c r="E5" s="497" t="s">
        <v>613</v>
      </c>
    </row>
    <row r="6" spans="1:14" s="100" customFormat="1" ht="24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24">
      <c r="A10" s="393" t="s">
        <v>620</v>
      </c>
      <c r="B10" s="395"/>
      <c r="C10" s="104"/>
      <c r="D10" s="104"/>
      <c r="E10" s="120"/>
      <c r="F10" s="106"/>
    </row>
    <row r="11" spans="1:15" ht="24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24">
      <c r="A15" s="396" t="s">
        <v>629</v>
      </c>
      <c r="B15" s="397" t="s">
        <v>630</v>
      </c>
      <c r="C15" s="108">
        <v>54235</v>
      </c>
      <c r="D15" s="108"/>
      <c r="E15" s="120">
        <f t="shared" si="0"/>
        <v>54235</v>
      </c>
      <c r="F15" s="106"/>
    </row>
    <row r="16" spans="1:15" ht="12">
      <c r="A16" s="396" t="s">
        <v>631</v>
      </c>
      <c r="B16" s="397" t="s">
        <v>632</v>
      </c>
      <c r="C16" s="119">
        <f>+C17+C18</f>
        <v>27796</v>
      </c>
      <c r="D16" s="119">
        <f>+D17+D18</f>
        <v>0</v>
      </c>
      <c r="E16" s="120">
        <f t="shared" si="0"/>
        <v>27796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>
        <v>27796</v>
      </c>
      <c r="D17" s="108"/>
      <c r="E17" s="120">
        <f t="shared" si="0"/>
        <v>27796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82031</v>
      </c>
      <c r="D19" s="104">
        <f>D11+D15+D16</f>
        <v>0</v>
      </c>
      <c r="E19" s="118">
        <f>E11+E15+E16</f>
        <v>82031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641</v>
      </c>
      <c r="B23" s="399"/>
      <c r="C23" s="119"/>
      <c r="D23" s="104"/>
      <c r="E23" s="120"/>
      <c r="F23" s="106"/>
    </row>
    <row r="24" spans="1:15" ht="24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85</v>
      </c>
      <c r="D28" s="108">
        <f>C28</f>
        <v>85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565</v>
      </c>
      <c r="D29" s="108">
        <f>C29</f>
        <v>565</v>
      </c>
      <c r="E29" s="120">
        <f t="shared" si="0"/>
        <v>0</v>
      </c>
      <c r="F29" s="106"/>
    </row>
    <row r="30" spans="1:6" ht="24">
      <c r="A30" s="396" t="s">
        <v>654</v>
      </c>
      <c r="B30" s="397" t="s">
        <v>655</v>
      </c>
      <c r="C30" s="108">
        <v>113028</v>
      </c>
      <c r="D30" s="108">
        <f>C30</f>
        <v>113028</v>
      </c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>
        <f>C31</f>
        <v>0</v>
      </c>
      <c r="E31" s="120">
        <f>C31-D31</f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>
        <f>C32</f>
        <v>0</v>
      </c>
      <c r="E32" s="120">
        <f>C32-D32</f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217</v>
      </c>
      <c r="D33" s="105">
        <f>SUM(D34:D37)</f>
        <v>217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>
        <v>213</v>
      </c>
      <c r="D34" s="108">
        <v>213</v>
      </c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4</v>
      </c>
      <c r="D35" s="108">
        <v>4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f>'справка №1-БАЛАНС'!C77</f>
        <v>0</v>
      </c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68263</v>
      </c>
      <c r="D38" s="105">
        <f>SUM(D39:D42)</f>
        <v>68263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v>68263</v>
      </c>
      <c r="D42" s="108">
        <v>68263</v>
      </c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182158</v>
      </c>
      <c r="D43" s="104">
        <f>D24+D28+D29+D31+D30+D32+D33+D38</f>
        <v>182158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264189</v>
      </c>
      <c r="D44" s="103">
        <f>D43+D21+D19+D9</f>
        <v>182158</v>
      </c>
      <c r="E44" s="118">
        <f>E43+E21+E19+E9</f>
        <v>82031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36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24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>
        <f>'справка №1-БАЛАНС'!G47</f>
        <v>29337</v>
      </c>
      <c r="D63" s="108"/>
      <c r="E63" s="119">
        <f t="shared" si="1"/>
        <v>29337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29337</v>
      </c>
      <c r="D66" s="103">
        <f>D52+D56+D61+D62+D63+D64</f>
        <v>0</v>
      </c>
      <c r="E66" s="119">
        <f t="shared" si="1"/>
        <v>29337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/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36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1773</v>
      </c>
      <c r="D80" s="103">
        <f>SUM(D81:D84)</f>
        <v>1773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>
        <v>1773</v>
      </c>
      <c r="D82" s="108">
        <f>C82</f>
        <v>1773</v>
      </c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100181</v>
      </c>
      <c r="D85" s="104">
        <f>SUM(D86:D90)+D94</f>
        <v>100181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>
        <v>97712</v>
      </c>
      <c r="D86" s="108">
        <f>C86</f>
        <v>97712</v>
      </c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171</v>
      </c>
      <c r="D87" s="108">
        <f aca="true" t="shared" si="2" ref="D87:D95">C87</f>
        <v>171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>
        <v>2298</v>
      </c>
      <c r="D88" s="108">
        <f t="shared" si="2"/>
        <v>2298</v>
      </c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/>
      <c r="D89" s="108">
        <f t="shared" si="2"/>
        <v>0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>
        <f t="shared" si="2"/>
        <v>0</v>
      </c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>
        <f t="shared" si="2"/>
        <v>0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>
        <f t="shared" si="2"/>
        <v>0</v>
      </c>
      <c r="E93" s="119">
        <f t="shared" si="1"/>
        <v>0</v>
      </c>
      <c r="F93" s="108"/>
    </row>
    <row r="94" spans="1:6" ht="24">
      <c r="A94" s="396" t="s">
        <v>760</v>
      </c>
      <c r="B94" s="397" t="s">
        <v>761</v>
      </c>
      <c r="C94" s="108"/>
      <c r="D94" s="108">
        <f t="shared" si="2"/>
        <v>0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f>'справка №1-БАЛАНС'!G69</f>
        <v>14174</v>
      </c>
      <c r="D95" s="108">
        <f t="shared" si="2"/>
        <v>14174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116128</v>
      </c>
      <c r="D96" s="104">
        <f>D85+D80+D75+D71+D95</f>
        <v>116128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145465</v>
      </c>
      <c r="D97" s="104">
        <f>D96+D68+D66</f>
        <v>116128</v>
      </c>
      <c r="E97" s="104">
        <f>E96+E68+E66</f>
        <v>29337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782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783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C1">
      <selection activeCell="G21" sqref="G21"/>
    </sheetView>
  </sheetViews>
  <sheetFormatPr defaultColWidth="9.00390625" defaultRowHeight="12.75"/>
  <cols>
    <col min="1" max="1" width="52.625" style="107" customWidth="1"/>
    <col min="2" max="2" width="9.125" style="523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5" t="str">
        <f>'справка №1-БАЛАНС'!E3</f>
        <v>ТЕХНОЛОГИЧЕН ЦЕНТЪР- ИНСТИТУТ ПО МИКРОЕЛЕКТРОНИКА АД</v>
      </c>
      <c r="C4" s="625"/>
      <c r="D4" s="625"/>
      <c r="E4" s="625"/>
      <c r="F4" s="625"/>
      <c r="G4" s="631" t="s">
        <v>2</v>
      </c>
      <c r="H4" s="631"/>
      <c r="I4" s="499">
        <f>'справка №1-БАЛАНС'!H3</f>
        <v>121084839</v>
      </c>
    </row>
    <row r="5" spans="1:9" ht="15">
      <c r="A5" s="500" t="s">
        <v>5</v>
      </c>
      <c r="B5" s="626" t="str">
        <f>'справка №1-БАЛАНС'!E5</f>
        <v>01.01.2010-30.06.2010г.</v>
      </c>
      <c r="C5" s="626"/>
      <c r="D5" s="626"/>
      <c r="E5" s="626"/>
      <c r="F5" s="626"/>
      <c r="G5" s="629" t="s">
        <v>4</v>
      </c>
      <c r="H5" s="630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787</v>
      </c>
    </row>
    <row r="7" spans="1:9" s="519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797</v>
      </c>
      <c r="B12" s="90" t="s">
        <v>798</v>
      </c>
      <c r="C12" s="438">
        <v>144975</v>
      </c>
      <c r="D12" s="98"/>
      <c r="E12" s="98"/>
      <c r="F12" s="98">
        <v>16753</v>
      </c>
      <c r="G12" s="98"/>
      <c r="H12" s="98"/>
      <c r="I12" s="434">
        <f>F12+G12-H12</f>
        <v>16753</v>
      </c>
    </row>
    <row r="13" spans="1:9" s="520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805</v>
      </c>
      <c r="C17" s="85">
        <f aca="true" t="shared" si="1" ref="C17:H17">C12+C13+C15+C16</f>
        <v>144975</v>
      </c>
      <c r="D17" s="85">
        <f t="shared" si="1"/>
        <v>0</v>
      </c>
      <c r="E17" s="85">
        <f t="shared" si="1"/>
        <v>0</v>
      </c>
      <c r="F17" s="85">
        <f t="shared" si="1"/>
        <v>16753</v>
      </c>
      <c r="G17" s="85">
        <f t="shared" si="1"/>
        <v>0</v>
      </c>
      <c r="H17" s="85">
        <f t="shared" si="1"/>
        <v>0</v>
      </c>
      <c r="I17" s="434">
        <f t="shared" si="0"/>
        <v>16753</v>
      </c>
    </row>
    <row r="18" spans="1:9" s="520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812</v>
      </c>
      <c r="B22" s="90" t="s">
        <v>813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24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783</v>
      </c>
      <c r="B30" s="628"/>
      <c r="C30" s="628"/>
      <c r="D30" s="458" t="s">
        <v>822</v>
      </c>
      <c r="E30" s="627"/>
      <c r="F30" s="627"/>
      <c r="G30" s="627"/>
      <c r="H30" s="420" t="s">
        <v>784</v>
      </c>
      <c r="I30" s="627"/>
      <c r="J30" s="627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37" top="0.45" bottom="0.16" header="0.31" footer="0.31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55">
      <selection activeCell="C57" sqref="C57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625" style="508" customWidth="1"/>
    <col min="4" max="4" width="20.125" style="508" customWidth="1"/>
    <col min="5" max="5" width="23.625" style="508" customWidth="1"/>
    <col min="6" max="6" width="19.625" style="508" customWidth="1"/>
    <col min="7" max="16384" width="10.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ТЕХНОЛОГИЧЕН ЦЕНТЪР- ИНСТИТУТ ПО МИКРОЕЛЕКТРОНИКА АД</v>
      </c>
      <c r="C5" s="632"/>
      <c r="D5" s="632"/>
      <c r="E5" s="569" t="s">
        <v>2</v>
      </c>
      <c r="F5" s="450">
        <f>'справка №1-БАЛАНС'!H3</f>
        <v>121084839</v>
      </c>
    </row>
    <row r="6" spans="1:13" ht="15" customHeight="1">
      <c r="A6" s="27" t="s">
        <v>825</v>
      </c>
      <c r="B6" s="633" t="str">
        <f>'справка №1-БАЛАНС'!E5</f>
        <v>01.01.2010-30.06.2010г.</v>
      </c>
      <c r="C6" s="633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878</v>
      </c>
      <c r="B12" s="37"/>
      <c r="C12" s="440">
        <v>1000</v>
      </c>
      <c r="D12" s="440">
        <v>100</v>
      </c>
      <c r="E12" s="440"/>
      <c r="F12" s="442">
        <f>C12-E12</f>
        <v>1000</v>
      </c>
    </row>
    <row r="13" spans="1:6" ht="12.75">
      <c r="A13" s="36" t="s">
        <v>877</v>
      </c>
      <c r="B13" s="40"/>
      <c r="C13" s="440">
        <v>6000</v>
      </c>
      <c r="D13" s="440">
        <v>50</v>
      </c>
      <c r="E13" s="440"/>
      <c r="F13" s="442">
        <f>C13-E13</f>
        <v>6000</v>
      </c>
    </row>
    <row r="14" spans="1:6" ht="12.75">
      <c r="A14" s="36" t="s">
        <v>876</v>
      </c>
      <c r="B14" s="37"/>
      <c r="C14" s="440">
        <v>25</v>
      </c>
      <c r="D14" s="440">
        <v>50</v>
      </c>
      <c r="E14" s="440"/>
      <c r="F14" s="442">
        <v>25</v>
      </c>
    </row>
    <row r="15" spans="1:6" ht="12.75">
      <c r="A15" s="36" t="s">
        <v>553</v>
      </c>
      <c r="B15" s="37"/>
      <c r="C15" s="440"/>
      <c r="D15" s="440"/>
      <c r="E15" s="440"/>
      <c r="F15" s="442">
        <f aca="true" t="shared" si="0" ref="F15:F26">C15-E15</f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7025</v>
      </c>
      <c r="D27" s="429"/>
      <c r="E27" s="429">
        <f>SUM(E12:E26)</f>
        <v>0</v>
      </c>
      <c r="F27" s="441">
        <f>SUM(F12:F26)</f>
        <v>7025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836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838</v>
      </c>
      <c r="B45" s="40"/>
      <c r="C45" s="429"/>
      <c r="D45" s="429"/>
      <c r="E45" s="429"/>
      <c r="F45" s="441"/>
    </row>
    <row r="46" spans="1:6" ht="25.5">
      <c r="A46" s="36" t="s">
        <v>869</v>
      </c>
      <c r="B46" s="40"/>
      <c r="C46" s="440">
        <v>9128</v>
      </c>
      <c r="D46" s="440">
        <v>0</v>
      </c>
      <c r="E46" s="440"/>
      <c r="F46" s="442">
        <v>9128</v>
      </c>
    </row>
    <row r="47" spans="1:6" ht="25.5">
      <c r="A47" s="36" t="s">
        <v>871</v>
      </c>
      <c r="B47" s="37"/>
      <c r="C47" s="440">
        <v>600</v>
      </c>
      <c r="D47" s="440">
        <v>3</v>
      </c>
      <c r="E47" s="440"/>
      <c r="F47" s="442">
        <f>C47-E47</f>
        <v>600</v>
      </c>
    </row>
    <row r="48" spans="1:6" ht="12.75">
      <c r="A48" s="36" t="s">
        <v>870</v>
      </c>
      <c r="B48" s="40"/>
      <c r="C48" s="440">
        <v>3031</v>
      </c>
      <c r="D48" s="440">
        <v>25</v>
      </c>
      <c r="E48" s="440"/>
      <c r="F48" s="442">
        <f aca="true" t="shared" si="2" ref="F48:F60">C48-E48</f>
        <v>3031</v>
      </c>
    </row>
    <row r="49" spans="1:6" ht="12.75">
      <c r="A49" s="36">
        <v>4</v>
      </c>
      <c r="B49" s="37"/>
      <c r="C49" s="440"/>
      <c r="D49" s="440"/>
      <c r="E49" s="440"/>
      <c r="F49" s="442"/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12759</v>
      </c>
      <c r="D61" s="429"/>
      <c r="E61" s="429">
        <f>SUM(E46:E60)</f>
        <v>0</v>
      </c>
      <c r="F61" s="441">
        <f>SUM(F46:F60)</f>
        <v>12759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840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843</v>
      </c>
      <c r="B79" s="39" t="s">
        <v>844</v>
      </c>
      <c r="C79" s="429">
        <f>C78+C61+C44+C27</f>
        <v>19784</v>
      </c>
      <c r="D79" s="429"/>
      <c r="E79" s="429">
        <f>E78+E61+E44+E27</f>
        <v>0</v>
      </c>
      <c r="F79" s="441">
        <f>F78+F61+F44+F27</f>
        <v>19784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845</v>
      </c>
      <c r="B80" s="39"/>
      <c r="C80" s="429"/>
      <c r="D80" s="429"/>
      <c r="E80" s="429"/>
      <c r="F80" s="441"/>
    </row>
    <row r="81" spans="1:6" ht="14.25" customHeight="1">
      <c r="A81" s="36" t="s">
        <v>832</v>
      </c>
      <c r="B81" s="40"/>
      <c r="C81" s="429"/>
      <c r="D81" s="429"/>
      <c r="E81" s="429"/>
      <c r="F81" s="441"/>
    </row>
    <row r="82" spans="1:6" ht="12.75">
      <c r="A82" s="36" t="s">
        <v>833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834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836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838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840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852</v>
      </c>
      <c r="B151" s="452"/>
      <c r="C151" s="634" t="s">
        <v>853</v>
      </c>
      <c r="D151" s="634"/>
      <c r="E151" s="634"/>
      <c r="F151" s="634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4" t="s">
        <v>861</v>
      </c>
      <c r="D153" s="634"/>
      <c r="E153" s="634"/>
      <c r="F153" s="634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F60 C133:F147 C29:F43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Albena</cp:lastModifiedBy>
  <cp:lastPrinted>2010-07-30T15:46:52Z</cp:lastPrinted>
  <dcterms:created xsi:type="dcterms:W3CDTF">2000-06-29T12:02:40Z</dcterms:created>
  <dcterms:modified xsi:type="dcterms:W3CDTF">2010-07-30T15:50:40Z</dcterms:modified>
  <cp:category/>
  <cp:version/>
  <cp:contentType/>
  <cp:contentStatus/>
</cp:coreProperties>
</file>