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25" windowWidth="10800" windowHeight="26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<sst xmlns="http://schemas.openxmlformats.org/spreadsheetml/2006/main" count="1071" uniqueCount="879">
  <si>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</si>
  <si>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</si>
  <si>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</si>
  <si>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</si>
  <si>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</si>
  <si>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</si>
  <si>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</si>
  <si>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</si>
  <si>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</si>
  <si>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</si>
  <si>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</si>
  <si>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</si>
  <si>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</si>
  <si>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</si>
  <si>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</si>
  <si>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</si>
  <si>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</si>
  <si>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</si>
  <si>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</si>
  <si>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</si>
  <si>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</si>
  <si>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</si>
  <si>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</si>
  <si>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</si>
  <si>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</si>
  <si>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</si>
  <si>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</si>
  <si>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</si>
  <si>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</si>
  <si>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</si>
  <si>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</si>
  <si>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</si>
  <si>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</si>
  <si>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</si>
  <si>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</si>
  <si>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</si>
  <si>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</si>
  <si>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</si>
  <si>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</si>
  <si>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</si>
  <si>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</si>
  <si>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</si>
  <si>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</si>
  <si>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</si>
  <si>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</si>
  <si>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</si>
  <si>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</si>
  <si>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</si>
  <si>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</si>
  <si>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</si>
  <si>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</si>
  <si>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</si>
  <si>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</si>
  <si>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</si>
  <si>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</si>
  <si>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</si>
  <si>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</si>
  <si>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</si>
  <si>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</si>
  <si>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</si>
  <si>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</si>
  <si>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</si>
  <si>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</si>
  <si>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</si>
  <si>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</si>
  <si>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</si>
  <si>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</si>
  <si>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</si>
  <si>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</si>
  <si>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</si>
  <si>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</si>
  <si>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</si>
  <si>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</si>
  <si>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</si>
  <si>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</si>
  <si>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</si>
  <si>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</si>
  <si>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</si>
  <si>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</si>
  <si>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</si>
  <si>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</si>
  <si>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</si>
  <si>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</si>
  <si>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</si>
  <si>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</si>
  <si>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</si>
  <si>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</si>
  <si>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</si>
  <si>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</si>
  <si>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</si>
  <si>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</si>
  <si>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</si>
  <si>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</si>
  <si>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</si>
  <si>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</si>
  <si>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</si>
  <si>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</si>
  <si>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</si>
  <si>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</si>
  <si>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</si>
  <si>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</si>
  <si>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</si>
  <si>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</si>
  <si>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</si>
  <si>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</si>
  <si>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</si>
  <si>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</si>
  <si>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</si>
  <si>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</si>
  <si>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</si>
  <si>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</si>
  <si>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</si>
  <si>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</si>
  <si>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</si>
  <si>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</si>
  <si>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</si>
  <si>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</si>
  <si>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</si>
  <si>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</si>
  <si>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</si>
  <si>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</si>
  <si>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</si>
  <si>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</si>
  <si>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</si>
  <si>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</si>
  <si>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</si>
  <si>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</si>
  <si>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</si>
  <si>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</si>
  <si>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</si>
  <si>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</si>
  <si>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</si>
  <si>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</si>
  <si>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</si>
  <si>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</si>
  <si>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</si>
  <si>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</si>
  <si>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</si>
  <si>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</si>
  <si>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</si>
  <si>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</si>
  <si>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</si>
  <si>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</si>
  <si>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</si>
  <si>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</si>
  <si>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</si>
  <si>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</si>
  <si>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</si>
  <si>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</si>
  <si>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</si>
  <si>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</si>
  <si>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</si>
  <si>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</si>
  <si>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</si>
  <si>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</si>
  <si>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</si>
  <si>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</si>
  <si>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</si>
  <si>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</si>
  <si>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</si>
  <si>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</si>
  <si>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</si>
  <si>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</si>
  <si>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</si>
  <si>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</si>
  <si>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</si>
  <si>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</si>
  <si>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</si>
  <si>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</si>
  <si>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</si>
  <si>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</si>
  <si>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</si>
  <si>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</si>
  <si>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</si>
  <si>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</si>
  <si>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</si>
  <si>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</si>
  <si>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</si>
  <si>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</si>
  <si>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</si>
  <si>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</si>
  <si>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</si>
  <si>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</si>
  <si>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</si>
  <si>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</si>
  <si>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</si>
  <si>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</si>
  <si>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</si>
  <si>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</si>
  <si>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</si>
  <si>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</si>
  <si>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</si>
  <si>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</si>
  <si>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</si>
  <si>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</si>
  <si>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</si>
  <si>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</si>
  <si>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</si>
  <si>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</si>
  <si>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</si>
  <si>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</si>
  <si>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</si>
  <si>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</si>
  <si>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</si>
  <si>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</si>
  <si>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</si>
  <si>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</si>
  <si>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</si>
  <si>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</si>
  <si>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</si>
  <si>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</si>
  <si>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</si>
  <si>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</si>
  <si>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</si>
  <si>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</si>
  <si>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</si>
  <si>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</si>
  <si>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</si>
  <si>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</si>
  <si>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</si>
  <si>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</si>
  <si>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</si>
  <si>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</si>
  <si>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</si>
  <si>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</si>
  <si>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</si>
  <si>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</si>
  <si>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</si>
  <si>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</si>
  <si>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</si>
  <si>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</si>
  <si>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</si>
  <si>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</si>
  <si>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</si>
  <si>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</si>
  <si>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</si>
  <si>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</si>
  <si>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</si>
  <si>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</si>
  <si>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</si>
  <si>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</si>
  <si>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</si>
  <si>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</si>
  <si>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</si>
  <si>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</si>
  <si>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</si>
  <si>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</si>
  <si>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</si>
  <si>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</si>
  <si>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</si>
  <si>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</si>
  <si>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</si>
  <si>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</si>
  <si>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</si>
  <si>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</si>
  <si>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</si>
  <si>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</si>
  <si>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</si>
  <si>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</si>
  <si>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</si>
  <si>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</si>
  <si>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</si>
  <si>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</si>
  <si>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</si>
  <si>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</si>
  <si>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</si>
  <si>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</si>
  <si>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</si>
  <si>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</si>
  <si>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</si>
  <si>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</si>
  <si>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</si>
  <si>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</si>
  <si>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</si>
  <si>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</si>
  <si>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</si>
  <si>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</si>
  <si>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</si>
  <si>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</si>
  <si>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</si>
  <si>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</si>
  <si>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</si>
  <si>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</si>
  <si>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</si>
  <si>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</si>
  <si>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</si>
  <si>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</si>
  <si>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</si>
  <si>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</si>
  <si>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</si>
  <si>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</si>
  <si>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</si>
  <si>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</si>
  <si>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</si>
  <si>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</si>
  <si>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</si>
  <si>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</si>
  <si>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</si>
  <si>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</si>
  <si>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</si>
  <si>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</si>
  <si>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</si>
  <si>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</si>
  <si>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</si>
  <si>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</si>
  <si>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</si>
  <si>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</si>
  <si>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</si>
  <si>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</si>
  <si>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</si>
  <si>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</si>
  <si>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</si>
  <si>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</si>
  <si>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</si>
  <si>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</si>
  <si>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</si>
  <si>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</si>
  <si>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</si>
  <si>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</si>
  <si>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</si>
  <si>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</si>
  <si>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</si>
  <si>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</si>
  <si>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</si>
  <si>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</si>
  <si>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</si>
  <si>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</si>
  <si>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</si>
  <si>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</si>
  <si>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</si>
  <si>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</si>
  <si>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</si>
  <si>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</si>
  <si>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</si>
  <si>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</si>
  <si>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</si>
  <si>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</si>
  <si>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</si>
  <si>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</si>
  <si>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</si>
  <si>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</si>
  <si>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</si>
  <si>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</si>
  <si>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</si>
  <si>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</si>
  <si>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</si>
  <si>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</si>
  <si>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</si>
  <si>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</si>
  <si>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</si>
  <si>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</si>
  <si>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</si>
  <si>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</si>
  <si>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</si>
  <si>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</si>
  <si>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</si>
  <si>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</si>
  <si>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</si>
  <si>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</si>
  <si>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</si>
  <si>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</si>
  <si>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</si>
  <si>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</si>
  <si>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</si>
  <si>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</si>
  <si>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</si>
  <si>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</si>
  <si>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</si>
  <si>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</si>
  <si>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</si>
  <si>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</si>
  <si>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</si>
  <si>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</si>
  <si>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</si>
  <si>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</si>
  <si>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</si>
  <si>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</si>
  <si>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</si>
  <si>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</si>
  <si>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</si>
  <si>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</si>
  <si>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</si>
  <si>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</si>
  <si>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</si>
  <si>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</si>
  <si>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</si>
  <si>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</si>
  <si>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</si>
  <si>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</si>
  <si>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</si>
  <si>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</si>
  <si>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</si>
  <si>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</si>
  <si>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</si>
  <si>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</si>
  <si>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</si>
  <si>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</si>
  <si>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</si>
  <si>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</si>
  <si>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</si>
  <si>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</si>
  <si>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</si>
  <si>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</si>
  <si>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</si>
  <si>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</si>
  <si>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</si>
  <si>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</si>
  <si>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</si>
  <si>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</si>
  <si>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</si>
  <si>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</si>
  <si>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</si>
  <si>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</si>
  <si>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</si>
  <si>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</si>
  <si>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</si>
  <si>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</si>
  <si>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</si>
  <si>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</si>
  <si>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</si>
  <si>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</si>
  <si>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</si>
  <si>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</si>
  <si>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</si>
  <si>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</si>
  <si>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</si>
  <si>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</si>
  <si>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</si>
  <si>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</si>
  <si>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</si>
  <si>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</si>
  <si>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</si>
  <si>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</si>
  <si>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</si>
  <si>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</si>
  <si>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</si>
  <si>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</si>
  <si>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</si>
  <si>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</si>
  <si>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</si>
  <si>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</si>
  <si>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</si>
  <si>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</si>
  <si>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</si>
  <si>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</si>
  <si>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</si>
  <si>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</si>
  <si>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</si>
  <si>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</si>
  <si>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</si>
  <si>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</si>
  <si>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</si>
  <si>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</si>
  <si>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</si>
  <si>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</si>
  <si>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</si>
  <si>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</si>
  <si>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</si>
  <si>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</si>
  <si>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</si>
  <si>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</si>
  <si>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</si>
  <si>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</si>
  <si>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</si>
  <si>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</si>
  <si>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</si>
  <si>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</si>
  <si>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</si>
  <si>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</si>
  <si>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</si>
  <si>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</si>
  <si>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</si>
  <si>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</si>
  <si>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</si>
  <si>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</si>
  <si>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</si>
  <si>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</si>
  <si>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</si>
  <si>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</si>
  <si>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</si>
  <si>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</si>
  <si>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</si>
  <si>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</si>
  <si>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</si>
  <si>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</si>
  <si>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</si>
  <si>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</si>
  <si>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</si>
  <si>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</si>
  <si>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</si>
  <si>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</si>
  <si>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</si>
  <si>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</si>
  <si>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</si>
  <si>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</si>
  <si>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</si>
  <si>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</si>
  <si>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</si>
  <si>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</si>
  <si>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</si>
  <si>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</si>
  <si>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</si>
  <si>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</si>
  <si>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</si>
  <si>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</si>
  <si>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</si>
  <si>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</si>
  <si>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</si>
  <si>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</si>
  <si>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</si>
  <si>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</si>
  <si>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</si>
  <si>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</si>
  <si>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</si>
  <si>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</si>
  <si>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</si>
  <si>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</si>
  <si>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</si>
  <si>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</si>
  <si>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</si>
  <si>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</si>
  <si>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</si>
  <si>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</si>
  <si>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</si>
  <si>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</si>
  <si>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</si>
  <si>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</si>
  <si>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</si>
  <si>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</si>
  <si>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</si>
  <si>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</si>
  <si>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</si>
  <si>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</si>
  <si>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</si>
  <si>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</si>
  <si>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</si>
  <si>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</si>
  <si>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</si>
  <si>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</si>
  <si>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</si>
  <si>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</si>
  <si>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</si>
  <si>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</si>
  <si>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</si>
  <si>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</si>
  <si>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</si>
  <si>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</si>
  <si>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</si>
  <si>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</si>
  <si>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</si>
  <si>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</si>
  <si>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</si>
  <si>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</si>
  <si>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</si>
  <si>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</si>
  <si>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</si>
  <si>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</si>
  <si>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</si>
  <si>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</si>
  <si>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</si>
  <si>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</si>
  <si>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</si>
  <si>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</si>
  <si>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</si>
  <si>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</si>
  <si>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</si>
  <si>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</si>
  <si>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</si>
  <si>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</si>
  <si>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</si>
  <si>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</si>
  <si>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</si>
  <si>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</si>
  <si>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</si>
  <si>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</si>
  <si>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</si>
  <si>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</si>
  <si>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</si>
  <si>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</si>
  <si>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</si>
  <si>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</si>
  <si>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</si>
  <si>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</si>
  <si>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</si>
  <si>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</si>
  <si>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</si>
  <si>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</si>
  <si>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</si>
  <si>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</si>
  <si>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</si>
  <si>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</si>
  <si>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</si>
  <si>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</si>
  <si>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</si>
  <si>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</si>
  <si>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</si>
  <si>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</si>
  <si>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</si>
  <si>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</si>
  <si>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</si>
  <si>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</si>
  <si>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</si>
  <si>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</si>
  <si>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</si>
  <si>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</si>
  <si>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</si>
  <si>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</si>
  <si>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</si>
  <si>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</si>
  <si>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</si>
  <si>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</si>
  <si>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</si>
  <si>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</si>
  <si>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</si>
  <si>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</si>
  <si>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</si>
  <si>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</si>
  <si>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</si>
  <si>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</si>
  <si>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</si>
  <si>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</si>
  <si>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</si>
  <si>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</si>
  <si>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</si>
  <si>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</si>
  <si>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</si>
  <si>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</si>
  <si>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</si>
  <si>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</si>
  <si>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</si>
  <si>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</si>
  <si>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</si>
  <si>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</si>
  <si>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</si>
  <si>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</si>
  <si>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</si>
  <si>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</si>
  <si>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</si>
  <si>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</si>
  <si>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</si>
  <si>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</si>
  <si>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</si>
  <si>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</si>
  <si>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</si>
  <si>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</si>
  <si>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</si>
  <si>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</si>
  <si>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</si>
  <si>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</si>
  <si>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</si>
  <si>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</si>
  <si>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</si>
  <si>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</si>
  <si>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</si>
  <si>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</si>
  <si>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</si>
  <si>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</si>
  <si>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</si>
  <si>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</si>
  <si>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</si>
  <si>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</si>
  <si>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</si>
  <si>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</si>
  <si>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</si>
  <si>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</si>
  <si>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</si>
  <si>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</si>
  <si>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</si>
  <si>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</si>
  <si>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</si>
  <si>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</si>
  <si>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</si>
  <si>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</si>
  <si>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</si>
  <si>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</si>
  <si>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</si>
  <si>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</si>
  <si>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</si>
  <si>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</si>
  <si>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</si>
  <si>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</si>
  <si>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</si>
  <si>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</si>
  <si>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</si>
  <si>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</si>
  <si>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</si>
  <si>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</si>
  <si>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</si>
  <si>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</si>
  <si>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</si>
  <si>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</si>
  <si>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</si>
  <si>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</si>
  <si>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</si>
  <si>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</si>
  <si>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</si>
  <si>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</si>
  <si>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</si>
  <si>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</si>
  <si>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</si>
  <si>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</si>
  <si>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</si>
  <si>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</si>
  <si>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</si>
  <si>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</si>
  <si>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</si>
  <si>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</si>
  <si>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</si>
  <si>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</si>
  <si>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</si>
  <si>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</si>
  <si>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</si>
  <si>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</si>
  <si>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</si>
  <si>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</si>
  <si>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</si>
  <si>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</si>
  <si>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</si>
  <si>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</si>
  <si>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</si>
  <si>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</si>
  <si>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</si>
  <si>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</si>
  <si>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</si>
  <si>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</si>
  <si>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</si>
  <si>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</si>
  <si>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</si>
  <si>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</si>
  <si>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</si>
  <si>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</si>
  <si>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</si>
  <si>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</si>
  <si>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</si>
  <si>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</si>
  <si>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</si>
  <si>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</si>
  <si>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</si>
  <si>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</si>
  <si>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</si>
  <si>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</si>
  <si>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</si>
  <si>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</si>
  <si>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</si>
  <si>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</si>
  <si>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</si>
  <si>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</si>
  <si>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</si>
  <si>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</si>
  <si>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</si>
  <si>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</si>
  <si>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</si>
  <si>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</si>
  <si>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</si>
  <si>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</si>
  <si>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</si>
  <si>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</si>
  <si>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</si>
  <si>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</si>
  <si>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</si>
  <si>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</si>
  <si>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</si>
  <si>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</si>
  <si>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</si>
  <si>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</si>
  <si>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</si>
  <si>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</si>
  <si>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</si>
  <si>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</si>
  <si>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</si>
  <si>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</si>
  <si>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</si>
  <si>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</si>
  <si>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</si>
  <si>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</si>
  <si>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</si>
  <si>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</si>
  <si>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</si>
  <si>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</si>
  <si>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</si>
  <si>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</si>
  <si>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</si>
  <si>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</si>
  <si>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</si>
  <si>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</si>
  <si>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</si>
  <si>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</si>
  <si>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</si>
  <si>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</si>
  <si>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</si>
  <si>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</si>
  <si>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</si>
  <si>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</si>
  <si>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</si>
  <si>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</si>
  <si>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</si>
  <si>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</si>
  <si>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</si>
  <si>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</si>
  <si>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</si>
  <si>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</si>
  <si>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</si>
  <si>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</si>
  <si>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</si>
  <si>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</si>
  <si>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</si>
  <si>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</si>
  <si>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</si>
  <si>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</si>
  <si>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</si>
  <si>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</si>
  <si>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</si>
  <si>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</si>
  <si>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</si>
  <si>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</si>
  <si>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</si>
  <si>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</si>
  <si>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</si>
  <si>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</si>
  <si>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</si>
  <si>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</si>
  <si>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</si>
  <si>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</si>
  <si>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</si>
  <si>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</si>
  <si>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</si>
  <si>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</si>
  <si>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</si>
  <si>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</si>
  <si>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</si>
  <si>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</si>
  <si>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</si>
  <si>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</si>
  <si>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</si>
  <si>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</si>
  <si>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</si>
  <si>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</si>
  <si>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</si>
  <si>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</si>
  <si>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</si>
  <si>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</si>
  <si>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</si>
  <si>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</si>
  <si>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</si>
  <si>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</si>
  <si>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</si>
  <si>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</si>
  <si>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</si>
  <si>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</si>
  <si>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</si>
  <si>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</si>
  <si>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</si>
  <si>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</si>
  <si>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</si>
  <si>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</si>
  <si>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</si>
  <si>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</si>
  <si>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</si>
  <si>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</si>
  <si>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</si>
  <si>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</si>
  <si>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</si>
  <si>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</si>
  <si>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</si>
  <si>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</si>
  <si>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</si>
  <si>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</si>
  <si>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</si>
  <si>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</si>
  <si>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</si>
  <si>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</si>
  <si>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</si>
  <si>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</si>
  <si>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</si>
  <si>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</si>
  <si>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</si>
  <si>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</si>
  <si>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</si>
  <si>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период:31.12.2015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</si>
</sst>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9" t="s">
        <v>1</v>
      </c>
      <c r="B3" s="590"/>
      <c r="C3" s="590"/>
      <c r="D3" s="590"/>
      <c r="E3" s="266" t="s">
        <v>158</v>
      </c>
      <c r="F3" s="112" t="s">
        <v>2</v>
      </c>
      <c r="G3" s="77"/>
      <c r="H3" s="265" t="s">
        <v>532</v>
      </c>
    </row>
    <row r="4" spans="1:8" ht="15">
      <c r="A4" s="589" t="s">
        <v>531</v>
      </c>
      <c r="B4" s="595"/>
      <c r="C4" s="595"/>
      <c r="D4" s="595"/>
      <c r="E4" s="287" t="s">
        <v>158</v>
      </c>
      <c r="F4" s="591" t="s">
        <v>3</v>
      </c>
      <c r="G4" s="592"/>
      <c r="H4" s="265">
        <v>455</v>
      </c>
    </row>
    <row r="5" spans="1:8" ht="15">
      <c r="A5" s="589" t="s">
        <v>878</v>
      </c>
      <c r="B5" s="590"/>
      <c r="C5" s="590"/>
      <c r="D5" s="590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1676</v>
      </c>
      <c r="D11" s="56">
        <v>1662</v>
      </c>
      <c r="E11" s="132" t="s">
        <v>21</v>
      </c>
      <c r="F11" s="137" t="s">
        <v>22</v>
      </c>
      <c r="G11" s="57">
        <f>31789-34</f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7845</v>
      </c>
      <c r="D12" s="56">
        <v>7707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72394</v>
      </c>
      <c r="D13" s="56">
        <v>76898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7202</v>
      </c>
      <c r="D14" s="56">
        <v>7399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846</v>
      </c>
      <c r="D15" s="56">
        <v>639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44</v>
      </c>
      <c r="D16" s="56">
        <v>7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9681</v>
      </c>
      <c r="D17" s="56">
        <v>2552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99688</v>
      </c>
      <c r="D19" s="60">
        <f>SUM(D11:D18)</f>
        <v>96864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173</v>
      </c>
      <c r="D20" s="56">
        <v>183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56717.89</v>
      </c>
      <c r="H21" s="61">
        <f>SUM(H22:H24)</f>
        <v>47981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f>56594-(ROUND(188*34.1/100,2))+152+25+11</f>
        <v>56717.89</v>
      </c>
      <c r="H22" s="57">
        <v>47981</v>
      </c>
    </row>
    <row r="23" spans="1:13" ht="15">
      <c r="A23" s="130" t="s">
        <v>65</v>
      </c>
      <c r="B23" s="136" t="s">
        <v>66</v>
      </c>
      <c r="C23" s="56">
        <v>22</v>
      </c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3</v>
      </c>
      <c r="D24" s="56">
        <v>0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56717.89</v>
      </c>
      <c r="H25" s="59">
        <f>H19+H20+H21</f>
        <v>47981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f>98+159</f>
        <v>257</v>
      </c>
      <c r="D26" s="56">
        <v>107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282</v>
      </c>
      <c r="D27" s="60">
        <f>SUM(D23:D26)</f>
        <v>107</v>
      </c>
      <c r="E27" s="148" t="s">
        <v>82</v>
      </c>
      <c r="F27" s="137" t="s">
        <v>83</v>
      </c>
      <c r="G27" s="59">
        <f>SUM(G28:G30)</f>
        <v>-14534</v>
      </c>
      <c r="H27" s="59">
        <f>SUM(H28:H30)</f>
        <v>-14455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1120-152-25-11</f>
        <v>932</v>
      </c>
      <c r="H28" s="57">
        <v>943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f>-15467+1</f>
        <v>-15466</v>
      </c>
      <c r="H29" s="211">
        <v>-15398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f>20232-(ROUND(70*34.1/100,2))-(ROUND(705*10/100,2))</f>
        <v>20137.63</v>
      </c>
      <c r="H31" s="57">
        <v>8658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5603.630000000001</v>
      </c>
      <c r="H33" s="59">
        <f>H27+H31+H32</f>
        <v>-5797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94076.52</v>
      </c>
      <c r="H36" s="59">
        <f>H25+H17+H33</f>
        <v>73939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v>122</v>
      </c>
      <c r="H39" s="63">
        <v>98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f>600</f>
        <v>600</v>
      </c>
      <c r="D44" s="56">
        <v>530</v>
      </c>
      <c r="E44" s="163" t="s">
        <v>133</v>
      </c>
      <c r="F44" s="137" t="s">
        <v>134</v>
      </c>
      <c r="G44" s="57">
        <f>13585+1834+4545+70+1</f>
        <v>20035</v>
      </c>
      <c r="H44" s="57">
        <v>28355</v>
      </c>
    </row>
    <row r="45" spans="1:15" ht="15">
      <c r="A45" s="130" t="s">
        <v>135</v>
      </c>
      <c r="B45" s="144" t="s">
        <v>136</v>
      </c>
      <c r="C45" s="60">
        <f>C34+C39+C44</f>
        <v>630</v>
      </c>
      <c r="D45" s="60">
        <f>D34+D39+D44</f>
        <v>560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437-51</f>
        <v>386</v>
      </c>
      <c r="H48" s="57">
        <v>370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20421</v>
      </c>
      <c r="H49" s="59">
        <f>SUM(H43:H48)</f>
        <v>28725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>
        <v>0</v>
      </c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f>4788+70+(ROUND(705*10/100,2))-(ROUND(705*10/100,2))</f>
        <v>4858</v>
      </c>
      <c r="H53" s="57">
        <v>2959</v>
      </c>
    </row>
    <row r="54" spans="1:8" ht="15">
      <c r="A54" s="130" t="s">
        <v>165</v>
      </c>
      <c r="B54" s="144" t="s">
        <v>166</v>
      </c>
      <c r="C54" s="56">
        <v>31</v>
      </c>
      <c r="D54" s="56">
        <v>58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100804</v>
      </c>
      <c r="D55" s="60">
        <f>D19+D20+D21+D27+D32+D45+D51+D53+D54</f>
        <v>97772</v>
      </c>
      <c r="E55" s="132" t="s">
        <v>171</v>
      </c>
      <c r="F55" s="156" t="s">
        <v>172</v>
      </c>
      <c r="G55" s="59">
        <f>G49+G51+G52+G53+G54</f>
        <v>25279</v>
      </c>
      <c r="H55" s="59">
        <f>H49+H51+H52+H53+H54</f>
        <v>31684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8615</v>
      </c>
      <c r="D58" s="56">
        <v>8300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3525</v>
      </c>
      <c r="D59" s="56">
        <v>1720</v>
      </c>
      <c r="E59" s="146" t="s">
        <v>180</v>
      </c>
      <c r="F59" s="137" t="s">
        <v>181</v>
      </c>
      <c r="G59" s="57">
        <f>5434+1467+14</f>
        <v>6915</v>
      </c>
      <c r="H59" s="57">
        <v>9778</v>
      </c>
      <c r="M59" s="62"/>
    </row>
    <row r="60" spans="1:8" ht="15">
      <c r="A60" s="130" t="s">
        <v>182</v>
      </c>
      <c r="B60" s="136" t="s">
        <v>183</v>
      </c>
      <c r="C60" s="56">
        <f>341-1</f>
        <v>340</v>
      </c>
      <c r="D60" s="56">
        <v>10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174</v>
      </c>
      <c r="D61" s="56">
        <v>41</v>
      </c>
      <c r="E61" s="138" t="s">
        <v>188</v>
      </c>
      <c r="F61" s="167" t="s">
        <v>189</v>
      </c>
      <c r="G61" s="59">
        <f>SUM(G62:G68)</f>
        <v>8215</v>
      </c>
      <c r="H61" s="59">
        <f>SUM(H62:H68)</f>
        <v>5268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677</v>
      </c>
      <c r="H62" s="57">
        <v>160</v>
      </c>
    </row>
    <row r="63" spans="1:13" ht="15">
      <c r="A63" s="130" t="s">
        <v>194</v>
      </c>
      <c r="B63" s="136" t="s">
        <v>195</v>
      </c>
      <c r="C63" s="56">
        <v>0</v>
      </c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12654</v>
      </c>
      <c r="D64" s="60">
        <f>SUM(D58:D63)</f>
        <v>10071</v>
      </c>
      <c r="E64" s="132" t="s">
        <v>199</v>
      </c>
      <c r="F64" s="137" t="s">
        <v>200</v>
      </c>
      <c r="G64" s="57">
        <f>6925-G62-14</f>
        <v>6234</v>
      </c>
      <c r="H64" s="57">
        <v>4124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77</v>
      </c>
      <c r="H65" s="57">
        <v>60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452</v>
      </c>
      <c r="H66" s="57">
        <v>373</v>
      </c>
    </row>
    <row r="67" spans="1:8" ht="15">
      <c r="A67" s="130" t="s">
        <v>206</v>
      </c>
      <c r="B67" s="136" t="s">
        <v>207</v>
      </c>
      <c r="C67" s="56">
        <f>6+7</f>
        <v>13</v>
      </c>
      <c r="D67" s="56">
        <v>6</v>
      </c>
      <c r="E67" s="132" t="s">
        <v>208</v>
      </c>
      <c r="F67" s="137" t="s">
        <v>209</v>
      </c>
      <c r="G67" s="57">
        <v>300</v>
      </c>
      <c r="H67" s="57">
        <v>127</v>
      </c>
    </row>
    <row r="68" spans="1:8" ht="15">
      <c r="A68" s="130" t="s">
        <v>210</v>
      </c>
      <c r="B68" s="136" t="s">
        <v>211</v>
      </c>
      <c r="C68" s="56">
        <f>8250-1217-13</f>
        <v>7020</v>
      </c>
      <c r="D68" s="56">
        <v>7446</v>
      </c>
      <c r="E68" s="132" t="s">
        <v>212</v>
      </c>
      <c r="F68" s="137" t="s">
        <v>213</v>
      </c>
      <c r="G68" s="57">
        <v>475</v>
      </c>
      <c r="H68" s="57">
        <v>424</v>
      </c>
    </row>
    <row r="69" spans="1:8" ht="15">
      <c r="A69" s="130" t="s">
        <v>214</v>
      </c>
      <c r="B69" s="136" t="s">
        <v>215</v>
      </c>
      <c r="C69" s="56">
        <v>1241</v>
      </c>
      <c r="D69" s="56">
        <v>1022</v>
      </c>
      <c r="E69" s="146" t="s">
        <v>77</v>
      </c>
      <c r="F69" s="137" t="s">
        <v>216</v>
      </c>
      <c r="G69" s="57">
        <f>1833-452-300-478</f>
        <v>603</v>
      </c>
      <c r="H69" s="57">
        <v>433</v>
      </c>
    </row>
    <row r="70" spans="1:8" ht="15">
      <c r="A70" s="130" t="s">
        <v>217</v>
      </c>
      <c r="B70" s="136" t="s">
        <v>218</v>
      </c>
      <c r="C70" s="56">
        <f>1489+27-297-2</f>
        <v>1217</v>
      </c>
      <c r="D70" s="56">
        <v>451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1367</v>
      </c>
      <c r="E71" s="148" t="s">
        <v>45</v>
      </c>
      <c r="F71" s="168" t="s">
        <v>223</v>
      </c>
      <c r="G71" s="66">
        <f>G59+G60+G61+G69+G70</f>
        <v>15784</v>
      </c>
      <c r="H71" s="66">
        <f>H59+H60+H61+H69+H70</f>
        <v>15530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f>1821+174</f>
        <v>1995</v>
      </c>
      <c r="D72" s="56">
        <v>826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>
        <v>0</v>
      </c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f>3160-1995+1201+1</f>
        <v>2367</v>
      </c>
      <c r="D74" s="56">
        <v>157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13853</v>
      </c>
      <c r="D75" s="60">
        <f>SUM(D67:D74)</f>
        <v>11275</v>
      </c>
      <c r="E75" s="146" t="s">
        <v>159</v>
      </c>
      <c r="F75" s="140" t="s">
        <v>233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15784</v>
      </c>
      <c r="H79" s="67">
        <f>H71+H74+H75+H76</f>
        <v>15530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8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f>8955-1201</f>
        <v>7754</v>
      </c>
      <c r="D88" s="56">
        <v>671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f>1201-1201</f>
        <v>0</v>
      </c>
      <c r="D89" s="56">
        <v>1278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7762</v>
      </c>
      <c r="D91" s="60">
        <f>SUM(D87:D90)</f>
        <v>1953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189</v>
      </c>
      <c r="D92" s="56">
        <v>180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34458</v>
      </c>
      <c r="D93" s="60">
        <f>D64+D75+D84+D91+D92</f>
        <v>23479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135262</v>
      </c>
      <c r="D94" s="69">
        <f>D93+D55</f>
        <v>121251</v>
      </c>
      <c r="E94" s="261" t="s">
        <v>269</v>
      </c>
      <c r="F94" s="184" t="s">
        <v>270</v>
      </c>
      <c r="G94" s="70">
        <f>G36+G39+G55+G79</f>
        <v>135261.52000000002</v>
      </c>
      <c r="H94" s="70">
        <f>H36+H39+H55+H79</f>
        <v>121251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42488</v>
      </c>
      <c r="B98" s="251"/>
      <c r="C98" s="593" t="s">
        <v>272</v>
      </c>
      <c r="D98" s="593"/>
      <c r="E98" s="593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3" t="s">
        <v>527</v>
      </c>
      <c r="D100" s="594"/>
      <c r="E100" s="594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D40" sqref="D40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8" t="str">
        <f>'справка №1-БАЛАНС'!E3</f>
        <v> </v>
      </c>
      <c r="C2" s="598"/>
      <c r="D2" s="598"/>
      <c r="E2" s="598"/>
      <c r="F2" s="600" t="s">
        <v>2</v>
      </c>
      <c r="G2" s="600"/>
      <c r="H2" s="290" t="str">
        <f>'справка №1-БАЛАНС'!H3</f>
        <v>814191`178</v>
      </c>
    </row>
    <row r="3" spans="1:8" ht="15">
      <c r="A3" s="271" t="s">
        <v>274</v>
      </c>
      <c r="B3" s="598" t="str">
        <f>'справка №1-БАЛАНС'!E4</f>
        <v> </v>
      </c>
      <c r="C3" s="598"/>
      <c r="D3" s="598"/>
      <c r="E3" s="598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9" t="str">
        <f>'справка №1-БАЛАНС'!E5</f>
        <v> </v>
      </c>
      <c r="C4" s="599"/>
      <c r="D4" s="599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f>63578</f>
        <v>63578</v>
      </c>
      <c r="D9" s="23">
        <v>64644</v>
      </c>
      <c r="E9" s="193" t="s">
        <v>284</v>
      </c>
      <c r="F9" s="309" t="s">
        <v>285</v>
      </c>
      <c r="G9" s="310">
        <v>114234</v>
      </c>
      <c r="H9" s="310">
        <v>104413</v>
      </c>
    </row>
    <row r="10" spans="1:8" ht="12">
      <c r="A10" s="193" t="s">
        <v>286</v>
      </c>
      <c r="B10" s="194" t="s">
        <v>287</v>
      </c>
      <c r="C10" s="23">
        <v>14131</v>
      </c>
      <c r="D10" s="23">
        <v>16393</v>
      </c>
      <c r="E10" s="193" t="s">
        <v>288</v>
      </c>
      <c r="F10" s="309" t="s">
        <v>289</v>
      </c>
      <c r="G10" s="310">
        <v>10</v>
      </c>
      <c r="H10" s="310">
        <v>0</v>
      </c>
    </row>
    <row r="11" spans="1:8" ht="12">
      <c r="A11" s="193" t="s">
        <v>290</v>
      </c>
      <c r="B11" s="194" t="s">
        <v>291</v>
      </c>
      <c r="C11" s="23">
        <v>6430</v>
      </c>
      <c r="D11" s="23">
        <v>6125</v>
      </c>
      <c r="E11" s="195" t="s">
        <v>292</v>
      </c>
      <c r="F11" s="309" t="s">
        <v>293</v>
      </c>
      <c r="G11" s="310">
        <v>460</v>
      </c>
      <c r="H11" s="310">
        <v>391</v>
      </c>
    </row>
    <row r="12" spans="1:8" ht="12">
      <c r="A12" s="193" t="s">
        <v>294</v>
      </c>
      <c r="B12" s="194" t="s">
        <v>295</v>
      </c>
      <c r="C12" s="23">
        <f>5865</f>
        <v>5865</v>
      </c>
      <c r="D12" s="23">
        <v>5573</v>
      </c>
      <c r="E12" s="195" t="s">
        <v>77</v>
      </c>
      <c r="F12" s="309" t="s">
        <v>296</v>
      </c>
      <c r="G12" s="310">
        <v>324</v>
      </c>
      <c r="H12" s="310">
        <v>3044</v>
      </c>
    </row>
    <row r="13" spans="1:18" ht="12">
      <c r="A13" s="193" t="s">
        <v>297</v>
      </c>
      <c r="B13" s="194" t="s">
        <v>298</v>
      </c>
      <c r="C13" s="23">
        <v>1039</v>
      </c>
      <c r="D13" s="23">
        <v>979</v>
      </c>
      <c r="E13" s="196" t="s">
        <v>50</v>
      </c>
      <c r="F13" s="311" t="s">
        <v>299</v>
      </c>
      <c r="G13" s="308">
        <f>SUM(G9:G12)</f>
        <v>115028</v>
      </c>
      <c r="H13" s="308">
        <f>SUM(H9:H12)</f>
        <v>107848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230</v>
      </c>
      <c r="D14" s="23">
        <v>476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-1937</v>
      </c>
      <c r="D15" s="24">
        <v>1333</v>
      </c>
      <c r="E15" s="191" t="s">
        <v>304</v>
      </c>
      <c r="F15" s="314" t="s">
        <v>305</v>
      </c>
      <c r="G15" s="310">
        <v>72</v>
      </c>
      <c r="H15" s="310">
        <v>0</v>
      </c>
    </row>
    <row r="16" spans="1:8" ht="12">
      <c r="A16" s="193" t="s">
        <v>306</v>
      </c>
      <c r="B16" s="194" t="s">
        <v>307</v>
      </c>
      <c r="C16" s="24">
        <v>1980</v>
      </c>
      <c r="D16" s="24">
        <v>1306</v>
      </c>
      <c r="E16" s="193" t="s">
        <v>308</v>
      </c>
      <c r="F16" s="312" t="s">
        <v>309</v>
      </c>
      <c r="G16" s="315">
        <v>72</v>
      </c>
      <c r="H16" s="315">
        <v>0</v>
      </c>
    </row>
    <row r="17" spans="1:8" ht="12">
      <c r="A17" s="197" t="s">
        <v>310</v>
      </c>
      <c r="B17" s="194" t="s">
        <v>311</v>
      </c>
      <c r="C17" s="25">
        <f>345+28</f>
        <v>373</v>
      </c>
      <c r="D17" s="25">
        <v>97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120</v>
      </c>
      <c r="D18" s="25">
        <v>89</v>
      </c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91316</v>
      </c>
      <c r="D19" s="26">
        <f>SUM(D9:D15)+D16</f>
        <v>96829</v>
      </c>
      <c r="E19" s="199" t="s">
        <v>316</v>
      </c>
      <c r="F19" s="312" t="s">
        <v>317</v>
      </c>
      <c r="G19" s="310">
        <f>231-231+229</f>
        <v>229</v>
      </c>
      <c r="H19" s="310">
        <v>651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f>1484-1484+1362</f>
        <v>1362</v>
      </c>
      <c r="D22" s="23">
        <v>1897</v>
      </c>
      <c r="E22" s="199" t="s">
        <v>325</v>
      </c>
      <c r="F22" s="312" t="s">
        <v>326</v>
      </c>
      <c r="G22" s="310">
        <f>2-2</f>
        <v>0</v>
      </c>
      <c r="H22" s="310">
        <v>30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0</v>
      </c>
      <c r="H23" s="310"/>
    </row>
    <row r="24" spans="1:18" ht="12">
      <c r="A24" s="193" t="s">
        <v>331</v>
      </c>
      <c r="B24" s="200" t="s">
        <v>332</v>
      </c>
      <c r="C24" s="23">
        <f>78-2</f>
        <v>76</v>
      </c>
      <c r="D24" s="23">
        <v>0</v>
      </c>
      <c r="E24" s="196" t="s">
        <v>102</v>
      </c>
      <c r="F24" s="314" t="s">
        <v>333</v>
      </c>
      <c r="G24" s="308">
        <f>SUM(G19:G23)</f>
        <v>229</v>
      </c>
      <c r="H24" s="308">
        <f>SUM(H19:H23)</f>
        <v>681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f>120</f>
        <v>120</v>
      </c>
      <c r="D25" s="23">
        <v>155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1558</v>
      </c>
      <c r="D26" s="26">
        <f>SUM(D22:D25)</f>
        <v>2052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92874</v>
      </c>
      <c r="D28" s="27">
        <f>D26+D19</f>
        <v>98881</v>
      </c>
      <c r="E28" s="41" t="s">
        <v>338</v>
      </c>
      <c r="F28" s="314" t="s">
        <v>339</v>
      </c>
      <c r="G28" s="308">
        <f>G13+G15+G24</f>
        <v>115329</v>
      </c>
      <c r="H28" s="308">
        <f>H13+H15+H24</f>
        <v>108529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22455</v>
      </c>
      <c r="D30" s="27">
        <f>IF((H28-D28)&gt;0,H28-D28,0)</f>
        <v>9648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92874</v>
      </c>
      <c r="D33" s="26">
        <f>D28-D31+D32</f>
        <v>98881</v>
      </c>
      <c r="E33" s="41" t="s">
        <v>352</v>
      </c>
      <c r="F33" s="314" t="s">
        <v>353</v>
      </c>
      <c r="G33" s="30">
        <f>G32-G31+G28</f>
        <v>115329</v>
      </c>
      <c r="H33" s="30">
        <f>H32-H31+H28</f>
        <v>108529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22455</v>
      </c>
      <c r="D34" s="27">
        <f>IF((H33-D33)&gt;0,H33-D33,0)</f>
        <v>9648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2292</v>
      </c>
      <c r="D35" s="26">
        <f>D36+D37+D38</f>
        <v>970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f>2292</f>
        <v>2292</v>
      </c>
      <c r="D36" s="23">
        <v>1061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-91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20163</v>
      </c>
      <c r="D39" s="264">
        <f>+IF((H33-D33-D35)&gt;0,H33-D33-D35,0)</f>
        <v>8678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f>(70*34.1/100)+1</f>
        <v>24.87</v>
      </c>
      <c r="D40" s="28">
        <v>20</v>
      </c>
      <c r="E40" s="41" t="s">
        <v>370</v>
      </c>
      <c r="F40" s="318" t="s">
        <v>372</v>
      </c>
      <c r="G40" s="310">
        <v>0</v>
      </c>
      <c r="H40" s="310">
        <v>0</v>
      </c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20138.13</v>
      </c>
      <c r="D41" s="29">
        <f>IF(H39=0,IF(D39-D40&gt;0,D39-D40+H40,0),IF(H39-H40&lt;0,H40-H39+D39,0))</f>
        <v>8658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115329</v>
      </c>
      <c r="D42" s="30">
        <f>D33+D35+D39</f>
        <v>108529</v>
      </c>
      <c r="E42" s="42" t="s">
        <v>379</v>
      </c>
      <c r="F42" s="43" t="s">
        <v>380</v>
      </c>
      <c r="G42" s="30">
        <f>G39+G33</f>
        <v>115329</v>
      </c>
      <c r="H42" s="30">
        <f>H39+H33</f>
        <v>108529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01" t="s">
        <v>529</v>
      </c>
      <c r="B45" s="601"/>
      <c r="C45" s="601"/>
      <c r="D45" s="601"/>
      <c r="E45" s="601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42488</v>
      </c>
      <c r="C48" s="247" t="s">
        <v>381</v>
      </c>
      <c r="D48" s="596"/>
      <c r="E48" s="596"/>
      <c r="F48" s="596"/>
      <c r="G48" s="596"/>
      <c r="H48" s="596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7"/>
      <c r="E50" s="597"/>
      <c r="F50" s="597"/>
      <c r="G50" s="597"/>
      <c r="H50" s="597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4" sqref="C14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123513</v>
      </c>
      <c r="D10" s="31">
        <v>110811</v>
      </c>
      <c r="E10" s="44"/>
      <c r="F10" s="44"/>
    </row>
    <row r="11" spans="1:13" ht="12">
      <c r="A11" s="227" t="s">
        <v>388</v>
      </c>
      <c r="B11" s="228" t="s">
        <v>389</v>
      </c>
      <c r="C11" s="31">
        <v>-96775</v>
      </c>
      <c r="D11" s="31">
        <v>-92959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-6845</v>
      </c>
      <c r="D13" s="31">
        <v>-6802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f>10369-187</f>
        <v>10182</v>
      </c>
      <c r="D14" s="31">
        <v>13463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-376</v>
      </c>
      <c r="D15" s="31">
        <v>-222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202</v>
      </c>
      <c r="D16" s="31">
        <v>110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-1921</v>
      </c>
      <c r="D17" s="31">
        <v>-1444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-66</v>
      </c>
      <c r="D18" s="31">
        <v>-54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-25</v>
      </c>
      <c r="D19" s="31">
        <v>-1259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27889</v>
      </c>
      <c r="D20" s="32">
        <f>SUM(D10:D19)</f>
        <v>21644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f>-10827-118</f>
        <v>-10945</v>
      </c>
      <c r="D22" s="31">
        <v>-9496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361</v>
      </c>
      <c r="D23" s="31">
        <v>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>
        <v>-1589</v>
      </c>
      <c r="D24" s="31">
        <v>-1002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v>718</v>
      </c>
      <c r="D25" s="31">
        <v>2366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0</v>
      </c>
      <c r="D31" s="31">
        <v>649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-11455</v>
      </c>
      <c r="D32" s="32">
        <f>SUM(D22:D31)</f>
        <v>-7483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68449+3301</f>
        <v>71750</v>
      </c>
      <c r="D36" s="31">
        <v>119318</v>
      </c>
      <c r="E36" s="44"/>
      <c r="F36" s="44"/>
    </row>
    <row r="37" spans="1:6" ht="12">
      <c r="A37" s="227" t="s">
        <v>437</v>
      </c>
      <c r="B37" s="228" t="s">
        <v>438</v>
      </c>
      <c r="C37" s="31">
        <f>-72769-5434-3772-400</f>
        <v>-82375</v>
      </c>
      <c r="D37" s="31">
        <v>-133307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>
        <v>0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/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-10625</v>
      </c>
      <c r="D42" s="32">
        <f>SUM(D34:D41)</f>
        <v>-13989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5809</v>
      </c>
      <c r="D43" s="32">
        <f>D42+D32+D20</f>
        <v>172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1953</v>
      </c>
      <c r="D44" s="46">
        <v>1781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7762</v>
      </c>
      <c r="D45" s="32">
        <f>D44+D43</f>
        <v>1953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C45-C47</f>
        <v>7762</v>
      </c>
      <c r="D46" s="33">
        <v>675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f>1201-1201</f>
        <v>0</v>
      </c>
      <c r="D47" s="33">
        <v>1278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42488</v>
      </c>
      <c r="B50" s="254" t="s">
        <v>381</v>
      </c>
      <c r="C50" s="602"/>
      <c r="D50" s="602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602"/>
      <c r="D52" s="602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selection activeCell="I17" sqref="I17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603" t="s">
        <v>459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5" t="str">
        <f>'справка №1-БАЛАНС'!E3</f>
        <v> </v>
      </c>
      <c r="C3" s="605"/>
      <c r="D3" s="605"/>
      <c r="E3" s="605"/>
      <c r="F3" s="605"/>
      <c r="G3" s="605"/>
      <c r="H3" s="605"/>
      <c r="I3" s="605"/>
      <c r="J3" s="280"/>
      <c r="K3" s="607" t="s">
        <v>2</v>
      </c>
      <c r="L3" s="607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5" t="str">
        <f>'справка №1-БАЛАНС'!E4</f>
        <v> </v>
      </c>
      <c r="C4" s="605"/>
      <c r="D4" s="605"/>
      <c r="E4" s="605"/>
      <c r="F4" s="605"/>
      <c r="G4" s="605"/>
      <c r="H4" s="605"/>
      <c r="I4" s="605"/>
      <c r="J4" s="50"/>
      <c r="K4" s="608" t="s">
        <v>3</v>
      </c>
      <c r="L4" s="608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9" t="str">
        <f>'справка №1-БАЛАНС'!E5</f>
        <v> </v>
      </c>
      <c r="C5" s="609"/>
      <c r="D5" s="609"/>
      <c r="E5" s="609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47981</v>
      </c>
      <c r="G11" s="35">
        <f>'справка №1-БАЛАНС'!H23</f>
        <v>0</v>
      </c>
      <c r="H11" s="37"/>
      <c r="I11" s="35">
        <f>'справка №1-БАЛАНС'!H28+'справка №1-БАЛАНС'!H31</f>
        <v>9601</v>
      </c>
      <c r="J11" s="35">
        <f>'справка №1-БАЛАНС'!H29+'справка №1-БАЛАНС'!H32</f>
        <v>-15398</v>
      </c>
      <c r="K11" s="37"/>
      <c r="L11" s="239">
        <f>SUM(C11:K11)</f>
        <v>73939</v>
      </c>
      <c r="M11" s="35">
        <f>'справка №1-БАЛАНС'!H39</f>
        <v>98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47981</v>
      </c>
      <c r="G15" s="38">
        <f t="shared" si="2"/>
        <v>0</v>
      </c>
      <c r="H15" s="38">
        <f t="shared" si="2"/>
        <v>0</v>
      </c>
      <c r="I15" s="38">
        <f t="shared" si="2"/>
        <v>9601</v>
      </c>
      <c r="J15" s="38">
        <f t="shared" si="2"/>
        <v>-15398</v>
      </c>
      <c r="K15" s="38">
        <f t="shared" si="2"/>
        <v>0</v>
      </c>
      <c r="L15" s="239">
        <f t="shared" si="1"/>
        <v>73939</v>
      </c>
      <c r="M15" s="38">
        <f t="shared" si="2"/>
        <v>98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20163-(70*34.1/100)-1</f>
        <v>20138.13</v>
      </c>
      <c r="J16" s="240">
        <f>+'справка №1-БАЛАНС'!G32</f>
        <v>0</v>
      </c>
      <c r="K16" s="37"/>
      <c r="L16" s="239">
        <f t="shared" si="1"/>
        <v>20138.13</v>
      </c>
      <c r="M16" s="37">
        <f>(70*34.1/100)</f>
        <v>23.87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295+8424+(27*(100-34.1)/100)</f>
        <v>8736.793</v>
      </c>
      <c r="G28" s="37"/>
      <c r="H28" s="37"/>
      <c r="I28" s="37">
        <f>-295-8424-(27*(100-34.1)/100)</f>
        <v>-8736.793</v>
      </c>
      <c r="J28" s="37">
        <v>0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56717.793</v>
      </c>
      <c r="G29" s="36">
        <f t="shared" si="6"/>
        <v>0</v>
      </c>
      <c r="H29" s="36">
        <f t="shared" si="6"/>
        <v>0</v>
      </c>
      <c r="I29" s="36">
        <f t="shared" si="6"/>
        <v>21002.337</v>
      </c>
      <c r="J29" s="36">
        <f t="shared" si="6"/>
        <v>-15398</v>
      </c>
      <c r="K29" s="36">
        <f t="shared" si="6"/>
        <v>0</v>
      </c>
      <c r="L29" s="239">
        <f t="shared" si="1"/>
        <v>94077.13</v>
      </c>
      <c r="M29" s="36">
        <f t="shared" si="6"/>
        <v>121.87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56717.793</v>
      </c>
      <c r="G32" s="36">
        <f t="shared" si="7"/>
        <v>0</v>
      </c>
      <c r="H32" s="36">
        <f t="shared" si="7"/>
        <v>0</v>
      </c>
      <c r="I32" s="36">
        <f t="shared" si="7"/>
        <v>21002.337</v>
      </c>
      <c r="J32" s="36">
        <f t="shared" si="7"/>
        <v>-15398</v>
      </c>
      <c r="K32" s="36">
        <f t="shared" si="7"/>
        <v>0</v>
      </c>
      <c r="L32" s="239">
        <f t="shared" si="1"/>
        <v>94077.13</v>
      </c>
      <c r="M32" s="36">
        <f>M29+M30+M31</f>
        <v>121.87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>
        <f>J32+I32</f>
        <v>5604.3369999999995</v>
      </c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6" t="s">
        <v>530</v>
      </c>
      <c r="B35" s="606"/>
      <c r="C35" s="606"/>
      <c r="D35" s="606"/>
      <c r="E35" s="606"/>
      <c r="F35" s="606"/>
      <c r="G35" s="606"/>
      <c r="H35" s="606"/>
      <c r="I35" s="606"/>
      <c r="J35" s="606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4" t="s">
        <v>521</v>
      </c>
      <c r="E38" s="604"/>
      <c r="F38" s="604"/>
      <c r="G38" s="604"/>
      <c r="H38" s="604"/>
      <c r="I38" s="604"/>
      <c r="J38" s="15" t="s">
        <v>528</v>
      </c>
      <c r="K38" s="15"/>
      <c r="L38" s="604"/>
      <c r="M38" s="604"/>
      <c r="N38" s="11"/>
    </row>
    <row r="39" spans="1:13" ht="12">
      <c r="A39" s="581">
        <f>'справка №1-БАЛАНС'!A98</f>
        <v>42488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1">
      <selection activeCell="N41" sqref="N41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7" t="s">
        <v>383</v>
      </c>
      <c r="B2" s="618"/>
      <c r="C2" s="619" t="str">
        <f>'[1]справка №1-БАЛАНС'!E3</f>
        <v>"СВИЛОЗА" АД</v>
      </c>
      <c r="D2" s="619"/>
      <c r="E2" s="619"/>
      <c r="F2" s="619"/>
      <c r="G2" s="619"/>
      <c r="H2" s="619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7" t="s">
        <v>4</v>
      </c>
      <c r="B4" s="618"/>
      <c r="C4" s="620"/>
      <c r="D4" s="620"/>
      <c r="E4" s="620"/>
      <c r="F4" s="339"/>
      <c r="G4" s="339"/>
      <c r="H4" s="339"/>
      <c r="I4" s="339"/>
      <c r="J4" s="339"/>
      <c r="K4" s="339"/>
      <c r="L4" s="339"/>
      <c r="M4" s="621" t="s">
        <v>3</v>
      </c>
      <c r="N4" s="621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22" t="s">
        <v>463</v>
      </c>
      <c r="B6" s="623"/>
      <c r="C6" s="610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2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2" t="s">
        <v>541</v>
      </c>
      <c r="R6" s="612" t="s">
        <v>542</v>
      </c>
    </row>
    <row r="7" spans="1:18" s="345" customFormat="1" ht="72">
      <c r="A7" s="624"/>
      <c r="B7" s="625"/>
      <c r="C7" s="611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3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3"/>
      <c r="R7" s="613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30</v>
      </c>
      <c r="F10" s="355">
        <v>24</v>
      </c>
      <c r="G10" s="356">
        <f>D10+E10-F10</f>
        <v>1676</v>
      </c>
      <c r="H10" s="357"/>
      <c r="I10" s="357"/>
      <c r="J10" s="356">
        <f>G10+H10-I10</f>
        <v>1676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1676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10984</v>
      </c>
      <c r="E11" s="355">
        <v>576</v>
      </c>
      <c r="F11" s="355">
        <v>30</v>
      </c>
      <c r="G11" s="356">
        <f aca="true" t="shared" si="2" ref="G11:G40">D11+E11-F11</f>
        <v>11530</v>
      </c>
      <c r="H11" s="357"/>
      <c r="I11" s="357"/>
      <c r="J11" s="356">
        <f aca="true" t="shared" si="3" ref="J11:J40">G11+H11-I11</f>
        <v>11530</v>
      </c>
      <c r="K11" s="357">
        <v>3284</v>
      </c>
      <c r="L11" s="357">
        <v>413</v>
      </c>
      <c r="M11" s="357">
        <v>12</v>
      </c>
      <c r="N11" s="356">
        <f aca="true" t="shared" si="4" ref="N11:N40">K11+L11-M11</f>
        <v>3685</v>
      </c>
      <c r="O11" s="357"/>
      <c r="P11" s="357"/>
      <c r="Q11" s="356">
        <f t="shared" si="0"/>
        <v>3685</v>
      </c>
      <c r="R11" s="356">
        <f t="shared" si="1"/>
        <v>7845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114694</v>
      </c>
      <c r="E12" s="355">
        <v>3178</v>
      </c>
      <c r="F12" s="586">
        <v>2623</v>
      </c>
      <c r="G12" s="356">
        <f t="shared" si="2"/>
        <v>115249</v>
      </c>
      <c r="H12" s="357"/>
      <c r="I12" s="357"/>
      <c r="J12" s="356">
        <f t="shared" si="3"/>
        <v>115249</v>
      </c>
      <c r="K12" s="357">
        <v>37840</v>
      </c>
      <c r="L12" s="587">
        <v>5340</v>
      </c>
      <c r="M12" s="357">
        <v>325</v>
      </c>
      <c r="N12" s="356">
        <f t="shared" si="4"/>
        <v>42855</v>
      </c>
      <c r="O12" s="357"/>
      <c r="P12" s="357"/>
      <c r="Q12" s="356">
        <f t="shared" si="0"/>
        <v>42855</v>
      </c>
      <c r="R12" s="356">
        <f t="shared" si="1"/>
        <v>72394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11174</v>
      </c>
      <c r="E13" s="355">
        <v>190</v>
      </c>
      <c r="F13" s="355">
        <v>21</v>
      </c>
      <c r="G13" s="356">
        <f t="shared" si="2"/>
        <v>11343</v>
      </c>
      <c r="H13" s="357"/>
      <c r="I13" s="357"/>
      <c r="J13" s="356">
        <f t="shared" si="3"/>
        <v>11343</v>
      </c>
      <c r="K13" s="357">
        <v>3738</v>
      </c>
      <c r="L13" s="357">
        <v>423</v>
      </c>
      <c r="M13" s="357">
        <v>20</v>
      </c>
      <c r="N13" s="356">
        <f t="shared" si="4"/>
        <v>4141</v>
      </c>
      <c r="O13" s="357"/>
      <c r="P13" s="357"/>
      <c r="Q13" s="356">
        <f t="shared" si="0"/>
        <v>4141</v>
      </c>
      <c r="R13" s="356">
        <f t="shared" si="1"/>
        <v>7202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1888</v>
      </c>
      <c r="E14" s="355">
        <v>487</v>
      </c>
      <c r="F14" s="355">
        <v>139</v>
      </c>
      <c r="G14" s="356">
        <f t="shared" si="2"/>
        <v>2236</v>
      </c>
      <c r="H14" s="357"/>
      <c r="I14" s="357"/>
      <c r="J14" s="356">
        <f t="shared" si="3"/>
        <v>2236</v>
      </c>
      <c r="K14" s="357">
        <v>1247</v>
      </c>
      <c r="L14" s="357">
        <v>238</v>
      </c>
      <c r="M14" s="357">
        <v>95</v>
      </c>
      <c r="N14" s="356">
        <f t="shared" si="4"/>
        <v>1390</v>
      </c>
      <c r="O14" s="357"/>
      <c r="P14" s="357"/>
      <c r="Q14" s="356">
        <f t="shared" si="0"/>
        <v>1390</v>
      </c>
      <c r="R14" s="356">
        <f t="shared" si="1"/>
        <v>846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124</v>
      </c>
      <c r="E15" s="355">
        <v>37</v>
      </c>
      <c r="F15" s="355">
        <v>2</v>
      </c>
      <c r="G15" s="356">
        <f t="shared" si="2"/>
        <v>159</v>
      </c>
      <c r="H15" s="357"/>
      <c r="I15" s="357"/>
      <c r="J15" s="356">
        <f t="shared" si="3"/>
        <v>159</v>
      </c>
      <c r="K15" s="357">
        <v>115</v>
      </c>
      <c r="L15" s="357">
        <v>2</v>
      </c>
      <c r="M15" s="357">
        <v>2</v>
      </c>
      <c r="N15" s="356">
        <f t="shared" si="4"/>
        <v>115</v>
      </c>
      <c r="O15" s="357"/>
      <c r="P15" s="357"/>
      <c r="Q15" s="356">
        <f t="shared" si="0"/>
        <v>115</v>
      </c>
      <c r="R15" s="356">
        <f t="shared" si="1"/>
        <v>44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2483</v>
      </c>
      <c r="E16" s="362">
        <v>9965</v>
      </c>
      <c r="F16" s="362">
        <v>2767</v>
      </c>
      <c r="G16" s="356">
        <f t="shared" si="2"/>
        <v>9681</v>
      </c>
      <c r="H16" s="363"/>
      <c r="I16" s="363"/>
      <c r="J16" s="356">
        <f t="shared" si="3"/>
        <v>9681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9681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f>19-19</f>
        <v>0</v>
      </c>
      <c r="E17" s="355">
        <f>3033-3033</f>
        <v>0</v>
      </c>
      <c r="F17" s="355">
        <f>1361-1361</f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143017</v>
      </c>
      <c r="E18" s="369">
        <f>SUM(E10:E17)</f>
        <v>14463</v>
      </c>
      <c r="F18" s="369">
        <f>SUM(F10:F17)</f>
        <v>5606</v>
      </c>
      <c r="G18" s="356">
        <f t="shared" si="2"/>
        <v>151874</v>
      </c>
      <c r="H18" s="370">
        <f>SUM(H10:H17)</f>
        <v>0</v>
      </c>
      <c r="I18" s="370">
        <f>SUM(I10:I17)</f>
        <v>0</v>
      </c>
      <c r="J18" s="356">
        <f t="shared" si="3"/>
        <v>151874</v>
      </c>
      <c r="K18" s="370">
        <f>SUM(K10:K17)</f>
        <v>46224</v>
      </c>
      <c r="L18" s="370">
        <f>SUM(L10:L17)</f>
        <v>6416</v>
      </c>
      <c r="M18" s="370">
        <f>SUM(M10:M17)</f>
        <v>454</v>
      </c>
      <c r="N18" s="356">
        <f t="shared" si="4"/>
        <v>52186</v>
      </c>
      <c r="O18" s="370">
        <f>SUM(O10:O17)</f>
        <v>0</v>
      </c>
      <c r="P18" s="370">
        <f>SUM(P10:P17)</f>
        <v>0</v>
      </c>
      <c r="Q18" s="356">
        <f t="shared" si="0"/>
        <v>52186</v>
      </c>
      <c r="R18" s="356">
        <f t="shared" si="1"/>
        <v>99688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151</v>
      </c>
      <c r="L19" s="588">
        <v>10</v>
      </c>
      <c r="M19" s="374">
        <v>0</v>
      </c>
      <c r="N19" s="356">
        <f t="shared" si="4"/>
        <v>161</v>
      </c>
      <c r="O19" s="374"/>
      <c r="P19" s="374"/>
      <c r="Q19" s="356">
        <f t="shared" si="0"/>
        <v>161</v>
      </c>
      <c r="R19" s="585">
        <f t="shared" si="1"/>
        <v>173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24</v>
      </c>
      <c r="F22" s="355"/>
      <c r="G22" s="356">
        <f t="shared" si="2"/>
        <v>167</v>
      </c>
      <c r="H22" s="357"/>
      <c r="I22" s="357"/>
      <c r="J22" s="356">
        <f t="shared" si="3"/>
        <v>167</v>
      </c>
      <c r="K22" s="357">
        <v>143</v>
      </c>
      <c r="L22" s="357">
        <v>2</v>
      </c>
      <c r="M22" s="357"/>
      <c r="N22" s="356">
        <f t="shared" si="4"/>
        <v>145</v>
      </c>
      <c r="O22" s="357"/>
      <c r="P22" s="357"/>
      <c r="Q22" s="356">
        <f t="shared" si="0"/>
        <v>145</v>
      </c>
      <c r="R22" s="356">
        <f t="shared" si="1"/>
        <v>22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374</v>
      </c>
      <c r="E23" s="355">
        <v>2</v>
      </c>
      <c r="F23" s="355">
        <v>0</v>
      </c>
      <c r="G23" s="356">
        <f t="shared" si="2"/>
        <v>376</v>
      </c>
      <c r="H23" s="357"/>
      <c r="I23" s="357"/>
      <c r="J23" s="356">
        <f t="shared" si="3"/>
        <v>376</v>
      </c>
      <c r="K23" s="357">
        <v>373</v>
      </c>
      <c r="L23" s="357">
        <v>0</v>
      </c>
      <c r="M23" s="357">
        <v>0</v>
      </c>
      <c r="N23" s="356">
        <f t="shared" si="4"/>
        <v>373</v>
      </c>
      <c r="O23" s="357"/>
      <c r="P23" s="357"/>
      <c r="Q23" s="356">
        <f t="shared" si="0"/>
        <v>373</v>
      </c>
      <c r="R23" s="356">
        <f t="shared" si="1"/>
        <v>3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197</v>
      </c>
      <c r="E25" s="355">
        <v>107</v>
      </c>
      <c r="F25" s="355">
        <v>24</v>
      </c>
      <c r="G25" s="356">
        <f t="shared" si="2"/>
        <v>280</v>
      </c>
      <c r="H25" s="357"/>
      <c r="I25" s="357"/>
      <c r="J25" s="356">
        <f t="shared" si="3"/>
        <v>280</v>
      </c>
      <c r="K25" s="357">
        <v>21</v>
      </c>
      <c r="L25" s="357">
        <v>2</v>
      </c>
      <c r="M25" s="357"/>
      <c r="N25" s="356">
        <f t="shared" si="4"/>
        <v>23</v>
      </c>
      <c r="O25" s="357"/>
      <c r="P25" s="357"/>
      <c r="Q25" s="356">
        <f t="shared" si="0"/>
        <v>23</v>
      </c>
      <c r="R25" s="356">
        <f t="shared" si="1"/>
        <v>257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744</v>
      </c>
      <c r="E26" s="381">
        <f aca="true" t="shared" si="5" ref="E26:P26">SUM(E22:E25)</f>
        <v>133</v>
      </c>
      <c r="F26" s="381">
        <f t="shared" si="5"/>
        <v>24</v>
      </c>
      <c r="G26" s="382">
        <f t="shared" si="2"/>
        <v>853</v>
      </c>
      <c r="H26" s="383">
        <f t="shared" si="5"/>
        <v>0</v>
      </c>
      <c r="I26" s="383">
        <f t="shared" si="5"/>
        <v>0</v>
      </c>
      <c r="J26" s="382">
        <f t="shared" si="3"/>
        <v>853</v>
      </c>
      <c r="K26" s="383">
        <f t="shared" si="5"/>
        <v>567</v>
      </c>
      <c r="L26" s="383">
        <f t="shared" si="5"/>
        <v>4</v>
      </c>
      <c r="M26" s="383">
        <f t="shared" si="5"/>
        <v>0</v>
      </c>
      <c r="N26" s="382">
        <f t="shared" si="4"/>
        <v>571</v>
      </c>
      <c r="O26" s="383">
        <f t="shared" si="5"/>
        <v>0</v>
      </c>
      <c r="P26" s="383">
        <f t="shared" si="5"/>
        <v>0</v>
      </c>
      <c r="Q26" s="382">
        <f t="shared" si="0"/>
        <v>571</v>
      </c>
      <c r="R26" s="382">
        <f t="shared" si="1"/>
        <v>282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531</v>
      </c>
      <c r="E38" s="355">
        <v>600</v>
      </c>
      <c r="F38" s="355">
        <v>531</v>
      </c>
      <c r="G38" s="356">
        <f t="shared" si="2"/>
        <v>600</v>
      </c>
      <c r="H38" s="395"/>
      <c r="I38" s="395"/>
      <c r="J38" s="356">
        <f t="shared" si="3"/>
        <v>600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600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561</v>
      </c>
      <c r="E39" s="369">
        <f aca="true" t="shared" si="10" ref="E39:P39">E28+E33+E38</f>
        <v>600</v>
      </c>
      <c r="F39" s="369">
        <f t="shared" si="10"/>
        <v>531</v>
      </c>
      <c r="G39" s="356">
        <f t="shared" si="2"/>
        <v>630</v>
      </c>
      <c r="H39" s="370">
        <f t="shared" si="10"/>
        <v>0</v>
      </c>
      <c r="I39" s="370">
        <f t="shared" si="10"/>
        <v>0</v>
      </c>
      <c r="J39" s="356">
        <f t="shared" si="3"/>
        <v>630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630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144656</v>
      </c>
      <c r="E41" s="402">
        <f>E18+E19+E20+E26+E39+E40</f>
        <v>15196</v>
      </c>
      <c r="F41" s="402">
        <f aca="true" t="shared" si="11" ref="F41:R41">F18+F19+F20+F26+F39+F40</f>
        <v>6161</v>
      </c>
      <c r="G41" s="402">
        <f t="shared" si="11"/>
        <v>153691</v>
      </c>
      <c r="H41" s="402">
        <f t="shared" si="11"/>
        <v>0</v>
      </c>
      <c r="I41" s="402">
        <f t="shared" si="11"/>
        <v>0</v>
      </c>
      <c r="J41" s="402">
        <f t="shared" si="11"/>
        <v>153691</v>
      </c>
      <c r="K41" s="402">
        <f t="shared" si="11"/>
        <v>46942</v>
      </c>
      <c r="L41" s="402">
        <f t="shared" si="11"/>
        <v>6430</v>
      </c>
      <c r="M41" s="402">
        <f t="shared" si="11"/>
        <v>454</v>
      </c>
      <c r="N41" s="402">
        <f t="shared" si="11"/>
        <v>52918</v>
      </c>
      <c r="O41" s="402">
        <f t="shared" si="11"/>
        <v>0</v>
      </c>
      <c r="P41" s="402">
        <f t="shared" si="11"/>
        <v>0</v>
      </c>
      <c r="Q41" s="402">
        <f t="shared" si="11"/>
        <v>52918</v>
      </c>
      <c r="R41" s="402">
        <f t="shared" si="11"/>
        <v>100773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4"/>
      <c r="L45" s="614"/>
      <c r="M45" s="614"/>
      <c r="N45" s="614"/>
      <c r="O45" s="615" t="s">
        <v>522</v>
      </c>
      <c r="P45" s="616"/>
      <c r="Q45" s="616"/>
      <c r="R45" s="616"/>
    </row>
    <row r="46" spans="1:18" ht="12">
      <c r="A46" s="332"/>
      <c r="B46" s="582">
        <f>'справка №1-БАЛАНС'!A98</f>
        <v>42488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A2:B2"/>
    <mergeCell ref="C2:H2"/>
    <mergeCell ref="A4:B4"/>
    <mergeCell ref="C4:E4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selection activeCell="D92" sqref="D92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7" t="s">
        <v>627</v>
      </c>
      <c r="B1" s="627"/>
      <c r="C1" s="627"/>
      <c r="D1" s="627"/>
      <c r="E1" s="627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8" t="str">
        <f>'[1]справка №1-БАЛАНС'!E3</f>
        <v>"СВИЛОЗА" АД</v>
      </c>
      <c r="C3" s="629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30"/>
      <c r="C5" s="631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600</v>
      </c>
      <c r="D16" s="439"/>
      <c r="E16" s="440">
        <f t="shared" si="0"/>
        <v>600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600</v>
      </c>
      <c r="D20" s="443">
        <f>D12+D16+D17</f>
        <v>0</v>
      </c>
      <c r="E20" s="448">
        <f>E12+E16+E17</f>
        <v>600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31</v>
      </c>
      <c r="D22" s="439"/>
      <c r="E22" s="440">
        <f t="shared" si="0"/>
        <v>31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13</v>
      </c>
      <c r="D25" s="446">
        <f>SUM(D26:D28)</f>
        <v>13</v>
      </c>
      <c r="E25" s="440">
        <f>SUM(E26:E28)</f>
        <v>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0</v>
      </c>
      <c r="D27" s="439">
        <v>0</v>
      </c>
      <c r="E27" s="440">
        <f t="shared" si="0"/>
        <v>0</v>
      </c>
      <c r="F27" s="441"/>
    </row>
    <row r="28" spans="1:6" ht="12">
      <c r="A28" s="444" t="s">
        <v>664</v>
      </c>
      <c r="B28" s="445" t="s">
        <v>665</v>
      </c>
      <c r="C28" s="439">
        <v>13</v>
      </c>
      <c r="D28" s="439">
        <v>13</v>
      </c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7020</v>
      </c>
      <c r="D29" s="439">
        <v>7020</v>
      </c>
      <c r="E29" s="440">
        <f t="shared" si="0"/>
        <v>0</v>
      </c>
      <c r="F29" s="441"/>
    </row>
    <row r="30" spans="1:6" ht="12">
      <c r="A30" s="444" t="s">
        <v>668</v>
      </c>
      <c r="B30" s="445" t="s">
        <v>669</v>
      </c>
      <c r="C30" s="439">
        <v>1241</v>
      </c>
      <c r="D30" s="439">
        <v>1241</v>
      </c>
      <c r="E30" s="440">
        <f t="shared" si="0"/>
        <v>0</v>
      </c>
      <c r="F30" s="441"/>
    </row>
    <row r="31" spans="1:6" ht="12">
      <c r="A31" s="444" t="s">
        <v>670</v>
      </c>
      <c r="B31" s="445" t="s">
        <v>671</v>
      </c>
      <c r="C31" s="439">
        <v>1217</v>
      </c>
      <c r="D31" s="439">
        <v>1217</v>
      </c>
      <c r="E31" s="440">
        <f t="shared" si="0"/>
        <v>0</v>
      </c>
      <c r="F31" s="441"/>
    </row>
    <row r="32" spans="1:6" ht="12">
      <c r="A32" s="444" t="s">
        <v>672</v>
      </c>
      <c r="B32" s="445" t="s">
        <v>673</v>
      </c>
      <c r="C32" s="439">
        <v>0</v>
      </c>
      <c r="D32" s="439">
        <v>0</v>
      </c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1995</v>
      </c>
      <c r="D34" s="450">
        <f>SUM(D35:D38)</f>
        <v>1995</v>
      </c>
      <c r="E34" s="451">
        <f>SUM(E35:E38)</f>
        <v>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>
        <v>0</v>
      </c>
      <c r="D35" s="439">
        <v>0</v>
      </c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v>1995</v>
      </c>
      <c r="D36" s="439">
        <v>1995</v>
      </c>
      <c r="E36" s="440">
        <f t="shared" si="0"/>
        <v>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2556</v>
      </c>
      <c r="D39" s="450">
        <f>SUM(D40:D43)</f>
        <v>2556</v>
      </c>
      <c r="E39" s="451">
        <f>SUM(E40:E43)</f>
        <v>0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f>2367+189</f>
        <v>2556</v>
      </c>
      <c r="D43" s="439">
        <v>2556</v>
      </c>
      <c r="E43" s="440">
        <f t="shared" si="0"/>
        <v>0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14042</v>
      </c>
      <c r="D44" s="443">
        <f>D25+D29+D30+D32+D31+D33+D34+D39</f>
        <v>14042</v>
      </c>
      <c r="E44" s="448">
        <f>E25+E29+E30+E32+E31+E33+E34+E39</f>
        <v>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14673</v>
      </c>
      <c r="D45" s="452">
        <f>D44+D22+D20+D10</f>
        <v>14042</v>
      </c>
      <c r="E45" s="448">
        <f>E44+E22+E20+E10</f>
        <v>631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4616</v>
      </c>
      <c r="D53" s="452">
        <f>SUM(D54:D56)</f>
        <v>0</v>
      </c>
      <c r="E53" s="446">
        <f>C53-D53</f>
        <v>4616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4545+71</f>
        <v>4616</v>
      </c>
      <c r="D54" s="439"/>
      <c r="E54" s="446">
        <f>C54-D54</f>
        <v>4616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15419</v>
      </c>
      <c r="D57" s="452">
        <f>D58+D60</f>
        <v>0</v>
      </c>
      <c r="E57" s="446">
        <f t="shared" si="1"/>
        <v>15419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f>13585+1834</f>
        <v>15419</v>
      </c>
      <c r="D58" s="439"/>
      <c r="E58" s="446">
        <f t="shared" si="1"/>
        <v>15419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386</v>
      </c>
      <c r="D65" s="439"/>
      <c r="E65" s="446">
        <f t="shared" si="1"/>
        <v>386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20421</v>
      </c>
      <c r="D67" s="452">
        <f>D53+D57+D62+D63+D64+D65</f>
        <v>0</v>
      </c>
      <c r="E67" s="446">
        <f t="shared" si="1"/>
        <v>20421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4858</v>
      </c>
      <c r="D69" s="439"/>
      <c r="E69" s="446">
        <f t="shared" si="1"/>
        <v>4858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677</v>
      </c>
      <c r="D72" s="450">
        <f>SUM(D73:D75)</f>
        <v>677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677</v>
      </c>
      <c r="D75" s="439">
        <v>677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6915</v>
      </c>
      <c r="D76" s="452">
        <f>D77+D79</f>
        <v>6915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v>6915</v>
      </c>
      <c r="D77" s="439">
        <v>6915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v>0</v>
      </c>
      <c r="D79" s="439"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7538</v>
      </c>
      <c r="D86" s="443">
        <f>SUM(D87:D91)+D95</f>
        <v>7538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>
        <v>0</v>
      </c>
      <c r="D87" s="439">
        <v>0</v>
      </c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6234</v>
      </c>
      <c r="D88" s="439">
        <v>6234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77</v>
      </c>
      <c r="D89" s="439">
        <v>77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452</v>
      </c>
      <c r="D90" s="439">
        <v>452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475</v>
      </c>
      <c r="D91" s="452">
        <f>SUM(D92:D94)</f>
        <v>475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v>0</v>
      </c>
      <c r="D92" s="439">
        <v>0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16</v>
      </c>
      <c r="D93" s="439">
        <v>16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f>475-16</f>
        <v>459</v>
      </c>
      <c r="D94" s="439">
        <v>459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300</v>
      </c>
      <c r="D95" s="439">
        <v>300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f>603+51</f>
        <v>654</v>
      </c>
      <c r="D96" s="439">
        <v>654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15784</v>
      </c>
      <c r="D97" s="443">
        <f>D86+D81+D76+D72+D96</f>
        <v>15784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41063</v>
      </c>
      <c r="D98" s="443">
        <f>D97+D69+D67</f>
        <v>15784</v>
      </c>
      <c r="E98" s="443">
        <f>E97+E69+E67</f>
        <v>25279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32" t="s">
        <v>798</v>
      </c>
      <c r="B108" s="632"/>
      <c r="C108" s="632"/>
      <c r="D108" s="632"/>
      <c r="E108" s="632"/>
      <c r="F108" s="632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33" t="s">
        <v>877</v>
      </c>
      <c r="B110" s="633"/>
      <c r="C110" s="633" t="s">
        <v>799</v>
      </c>
      <c r="D110" s="633"/>
      <c r="E110" s="633"/>
      <c r="F110" s="633"/>
    </row>
    <row r="111" spans="1:6" ht="12">
      <c r="A111" s="583">
        <f>'справка №1-БАЛАНС'!A98</f>
        <v>42488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6" t="s">
        <v>800</v>
      </c>
      <c r="D112" s="626"/>
      <c r="E112" s="626"/>
      <c r="F112" s="626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5" t="str">
        <f>'[1]справка №1-БАЛАНС'!E3</f>
        <v>"СВИЛОЗА" АД</v>
      </c>
      <c r="C4" s="635"/>
      <c r="D4" s="635"/>
      <c r="E4" s="635"/>
      <c r="F4" s="635"/>
      <c r="G4" s="636" t="s">
        <v>2</v>
      </c>
      <c r="H4" s="636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7"/>
      <c r="C6" s="637"/>
      <c r="D6" s="637"/>
      <c r="E6" s="637"/>
      <c r="F6" s="637"/>
      <c r="G6" s="638" t="s">
        <v>3</v>
      </c>
      <c r="H6" s="639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40"/>
      <c r="C31" s="640"/>
      <c r="D31" s="531" t="s">
        <v>839</v>
      </c>
      <c r="E31" s="634"/>
      <c r="F31" s="634"/>
      <c r="G31" s="634"/>
      <c r="H31" s="532" t="s">
        <v>522</v>
      </c>
      <c r="I31" s="634"/>
      <c r="J31" s="634"/>
    </row>
    <row r="32" spans="1:9" s="508" customFormat="1" ht="12">
      <c r="A32" s="582">
        <f>'справка №1-БАЛАНС'!A98</f>
        <v>42488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49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41" t="str">
        <f>'[1]справка №1-БАЛАНС'!E3</f>
        <v>"СВИЛОЗА" АД</v>
      </c>
      <c r="C5" s="641"/>
      <c r="D5" s="641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42"/>
      <c r="C7" s="642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43" t="s">
        <v>871</v>
      </c>
      <c r="D149" s="643"/>
      <c r="E149" s="643"/>
      <c r="F149" s="643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43" t="s">
        <v>872</v>
      </c>
      <c r="D151" s="643"/>
      <c r="E151" s="643"/>
      <c r="F151" s="643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2016-04-28T11:37:05Z</cp:lastPrinted>
  <dcterms:created xsi:type="dcterms:W3CDTF">2000-06-29T12:02:40Z</dcterms:created>
  <dcterms:modified xsi:type="dcterms:W3CDTF">2016-04-28T11:37:14Z</dcterms:modified>
  <cp:category/>
  <cp:version/>
  <cp:contentType/>
  <cp:contentStatus/>
</cp:coreProperties>
</file>