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937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<sst xmlns="http://schemas.openxmlformats.org/spreadsheetml/2006/main" count="1060" uniqueCount="874">
  <si>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</si>
  <si>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</si>
  <si>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</si>
  <si>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</si>
  <si>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</si>
  <si>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</si>
  <si>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</si>
  <si>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</si>
  <si>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</si>
  <si>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</si>
  <si>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</si>
  <si>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</si>
  <si>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</si>
  <si>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</si>
  <si>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</si>
  <si>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</si>
  <si>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</si>
  <si>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</si>
  <si>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</si>
  <si>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</si>
  <si>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</si>
  <si>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</si>
  <si>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</si>
  <si>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</si>
  <si>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</si>
  <si>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</si>
  <si>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</si>
  <si>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</si>
  <si>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</si>
  <si>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</si>
  <si>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</si>
  <si>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</si>
  <si>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</si>
  <si>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</si>
  <si>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</si>
  <si>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</si>
  <si>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</si>
  <si>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</si>
  <si>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</si>
  <si>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</si>
  <si>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</si>
  <si>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</si>
  <si>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</si>
  <si>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</si>
  <si>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</si>
  <si>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</si>
  <si>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</si>
  <si>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</si>
  <si>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</si>
  <si>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</si>
  <si>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</si>
  <si>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</si>
  <si>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</si>
  <si>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</si>
  <si>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</si>
  <si>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</si>
  <si>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</si>
  <si>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</si>
  <si>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</si>
  <si>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</si>
  <si>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</si>
  <si>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</si>
  <si>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</si>
  <si>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</si>
  <si>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</si>
  <si>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</si>
  <si>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</si>
  <si>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</si>
  <si>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</si>
  <si>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</si>
  <si>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</si>
  <si>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</si>
  <si>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</si>
  <si>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</si>
  <si>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</si>
  <si>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</si>
  <si>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</si>
  <si>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</si>
  <si>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</si>
  <si>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</si>
  <si>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</si>
  <si>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</si>
  <si>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</si>
  <si>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</si>
  <si>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</si>
  <si>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</si>
  <si>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</si>
  <si>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</si>
  <si>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</si>
  <si>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</si>
  <si>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</si>
  <si>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</si>
  <si>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</si>
  <si>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</si>
  <si>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</si>
  <si>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</si>
  <si>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</si>
  <si>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</si>
  <si>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</si>
  <si>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</si>
  <si>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</si>
  <si>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</si>
  <si>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</si>
  <si>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</si>
  <si>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</si>
  <si>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</si>
  <si>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</si>
  <si>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</si>
  <si>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</si>
  <si>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</si>
  <si>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</si>
  <si>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</si>
  <si>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</si>
  <si>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</si>
  <si>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</si>
  <si>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</si>
  <si>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</si>
  <si>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</si>
  <si>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</si>
  <si>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</si>
  <si>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</si>
  <si>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</si>
  <si>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</si>
  <si>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</si>
  <si>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</si>
  <si>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</si>
  <si>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</si>
  <si>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</si>
  <si>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</si>
  <si>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</si>
  <si>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</si>
  <si>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</si>
  <si>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</si>
  <si>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</si>
  <si>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</si>
  <si>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</si>
  <si>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</si>
  <si>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</si>
  <si>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</si>
  <si>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</si>
  <si>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</si>
  <si>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</si>
  <si>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</si>
  <si>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</si>
  <si>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</si>
  <si>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</si>
  <si>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</si>
  <si>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</si>
  <si>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</si>
  <si>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</si>
  <si>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</si>
  <si>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</si>
  <si>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</si>
  <si>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</si>
  <si>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</si>
  <si>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</si>
  <si>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</si>
  <si>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</si>
  <si>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</si>
  <si>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</si>
  <si>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</si>
  <si>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</si>
  <si>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</si>
  <si>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</si>
  <si>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</si>
  <si>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</si>
  <si>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</si>
  <si>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</si>
  <si>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</si>
  <si>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</si>
  <si>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</si>
  <si>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</si>
  <si>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</si>
  <si>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</si>
  <si>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</si>
  <si>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</si>
  <si>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</si>
  <si>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</si>
  <si>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</si>
  <si>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</si>
  <si>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</si>
  <si>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</si>
  <si>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</si>
  <si>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</si>
  <si>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</si>
  <si>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</si>
  <si>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</si>
  <si>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</si>
  <si>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</si>
  <si>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</si>
  <si>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</si>
  <si>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</si>
  <si>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</si>
  <si>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</si>
  <si>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</si>
  <si>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</si>
  <si>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</si>
  <si>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</si>
  <si>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</si>
  <si>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</si>
  <si>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</si>
  <si>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</si>
  <si>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</si>
  <si>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</si>
  <si>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</si>
  <si>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</si>
  <si>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</si>
  <si>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</si>
  <si>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</si>
  <si>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</si>
  <si>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</si>
  <si>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</si>
  <si>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</si>
  <si>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</si>
  <si>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</si>
  <si>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</si>
  <si>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</si>
  <si>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</si>
  <si>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</si>
  <si>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</si>
  <si>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</si>
  <si>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</si>
  <si>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</si>
  <si>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</si>
  <si>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</si>
  <si>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</si>
  <si>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</si>
  <si>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</si>
  <si>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</si>
  <si>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</si>
  <si>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</si>
  <si>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</si>
  <si>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</si>
  <si>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</si>
  <si>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</si>
  <si>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</si>
  <si>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</si>
  <si>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</si>
  <si>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</si>
  <si>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</si>
  <si>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</si>
  <si>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</si>
  <si>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</si>
  <si>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</si>
  <si>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</si>
  <si>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</si>
  <si>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</si>
  <si>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</si>
  <si>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</si>
  <si>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</si>
  <si>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</si>
  <si>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</si>
  <si>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</si>
  <si>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</si>
  <si>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</si>
  <si>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</si>
  <si>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</si>
  <si>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</si>
  <si>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</si>
  <si>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</si>
  <si>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</si>
  <si>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</si>
  <si>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</si>
  <si>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</si>
  <si>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</si>
  <si>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</si>
  <si>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</si>
  <si>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</si>
  <si>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</si>
  <si>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</si>
  <si>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</si>
  <si>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</si>
  <si>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</si>
  <si>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</si>
  <si>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</si>
  <si>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</si>
  <si>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</si>
  <si>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</si>
  <si>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</si>
  <si>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</si>
  <si>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</si>
  <si>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</si>
  <si>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</si>
  <si>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</si>
  <si>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</si>
  <si>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</si>
  <si>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</si>
  <si>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</si>
  <si>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</si>
  <si>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</si>
  <si>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</si>
  <si>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</si>
  <si>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</si>
  <si>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</si>
  <si>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</si>
  <si>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</si>
  <si>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</si>
  <si>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</si>
  <si>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</si>
  <si>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</si>
  <si>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</si>
  <si>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</si>
  <si>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</si>
  <si>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</si>
  <si>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</si>
  <si>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</si>
  <si>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</si>
  <si>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</si>
  <si>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</si>
  <si>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</si>
  <si>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</si>
  <si>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</si>
  <si>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</si>
  <si>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</si>
  <si>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</si>
  <si>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</si>
  <si>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</si>
  <si>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</si>
  <si>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</si>
  <si>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</si>
  <si>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</si>
  <si>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</si>
  <si>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</si>
  <si>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</si>
  <si>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</si>
  <si>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</si>
  <si>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</si>
  <si>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</si>
  <si>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</si>
  <si>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</si>
  <si>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</si>
  <si>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</si>
  <si>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</si>
  <si>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</si>
  <si>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</si>
  <si>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</si>
  <si>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</si>
  <si>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</si>
  <si>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</si>
  <si>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</si>
  <si>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</si>
  <si>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</si>
  <si>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</si>
  <si>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</si>
  <si>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</si>
  <si>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</si>
  <si>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</si>
  <si>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</si>
  <si>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</si>
  <si>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</si>
  <si>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</si>
  <si>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</si>
  <si>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</si>
  <si>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</si>
  <si>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</si>
  <si>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</si>
  <si>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</si>
  <si>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</si>
  <si>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</si>
  <si>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</si>
  <si>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</si>
  <si>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</si>
  <si>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</si>
  <si>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</si>
  <si>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</si>
  <si>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</si>
  <si>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</si>
  <si>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</si>
  <si>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</si>
  <si>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</si>
  <si>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</si>
  <si>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</si>
  <si>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</si>
  <si>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</si>
  <si>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</si>
  <si>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</si>
  <si>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</si>
  <si>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</si>
  <si>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</si>
  <si>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</si>
  <si>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</si>
  <si>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</si>
  <si>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</si>
  <si>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</si>
  <si>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</si>
  <si>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</si>
  <si>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</si>
  <si>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</si>
  <si>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</si>
  <si>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</si>
  <si>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</si>
  <si>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</si>
  <si>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</si>
  <si>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</si>
  <si>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</si>
  <si>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</si>
  <si>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</si>
  <si>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</si>
  <si>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</si>
  <si>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</si>
  <si>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</si>
  <si>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</si>
  <si>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</si>
  <si>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</si>
  <si>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</si>
  <si>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</si>
  <si>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</si>
  <si>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</si>
  <si>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</si>
  <si>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</si>
  <si>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</si>
  <si>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</si>
  <si>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</si>
  <si>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</si>
  <si>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</si>
  <si>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</si>
  <si>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</si>
  <si>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</si>
  <si>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</si>
  <si>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</si>
  <si>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</si>
  <si>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</si>
  <si>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</si>
  <si>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</si>
  <si>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</si>
  <si>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</si>
  <si>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</si>
  <si>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</si>
  <si>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</si>
  <si>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</si>
  <si>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</si>
  <si>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</si>
  <si>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</si>
  <si>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</si>
  <si>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</si>
  <si>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</si>
  <si>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</si>
  <si>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</si>
  <si>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</si>
  <si>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</si>
  <si>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</si>
  <si>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</si>
  <si>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</si>
  <si>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</si>
  <si>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</si>
  <si>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</si>
  <si>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</si>
  <si>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</si>
  <si>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</si>
  <si>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</si>
  <si>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</si>
  <si>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</si>
  <si>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</si>
  <si>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</si>
  <si>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</si>
  <si>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</si>
  <si>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</si>
  <si>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</si>
  <si>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</si>
  <si>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</si>
  <si>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</si>
  <si>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</si>
  <si>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</si>
  <si>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</si>
  <si>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</si>
  <si>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</si>
  <si>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</si>
  <si>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</si>
  <si>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</si>
  <si>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</si>
  <si>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</si>
  <si>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</si>
  <si>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</si>
  <si>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</si>
  <si>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</si>
  <si>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</si>
  <si>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</si>
  <si>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</si>
  <si>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</si>
  <si>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</si>
  <si>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</si>
  <si>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</si>
  <si>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</si>
  <si>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</si>
  <si>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</si>
  <si>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</si>
  <si>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</si>
  <si>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</si>
  <si>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</si>
  <si>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</si>
  <si>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</si>
  <si>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</si>
  <si>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</si>
  <si>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</si>
  <si>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</si>
  <si>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</si>
  <si>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</si>
  <si>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</si>
  <si>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</si>
  <si>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</si>
  <si>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</si>
  <si>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</si>
  <si>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</si>
  <si>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</si>
  <si>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</si>
  <si>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</si>
  <si>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</si>
  <si>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</si>
  <si>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</si>
  <si>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</si>
  <si>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</si>
  <si>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</si>
  <si>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</si>
  <si>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</si>
  <si>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</si>
  <si>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</si>
  <si>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</si>
  <si>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</si>
  <si>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</si>
  <si>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</si>
  <si>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</si>
  <si>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</si>
  <si>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</si>
  <si>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</si>
  <si>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</si>
  <si>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</si>
  <si>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</si>
  <si>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</si>
  <si>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</si>
  <si>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</si>
  <si>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</si>
  <si>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</si>
  <si>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</si>
  <si>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</si>
  <si>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</si>
  <si>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</si>
  <si>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</si>
  <si>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</si>
  <si>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</si>
  <si>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</si>
  <si>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</si>
  <si>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</si>
  <si>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</si>
  <si>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</si>
  <si>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</si>
  <si>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</si>
  <si>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</si>
  <si>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</si>
  <si>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</si>
  <si>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</si>
  <si>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</si>
  <si>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</si>
  <si>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</si>
  <si>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</si>
  <si>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</si>
  <si>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</si>
  <si>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</si>
  <si>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</si>
  <si>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</si>
  <si>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</si>
  <si>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</si>
  <si>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</si>
  <si>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</si>
  <si>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</si>
  <si>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</si>
  <si>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</si>
  <si>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</si>
  <si>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</si>
  <si>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</si>
  <si>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</si>
  <si>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</si>
  <si>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</si>
  <si>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</si>
  <si>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</si>
  <si>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</si>
  <si>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</si>
  <si>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</si>
  <si>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</si>
  <si>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</si>
  <si>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</si>
  <si>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</si>
  <si>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</si>
  <si>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</si>
  <si>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</si>
  <si>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</si>
  <si>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</si>
  <si>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</si>
  <si>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</si>
  <si>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</si>
  <si>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</si>
  <si>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</si>
  <si>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</si>
  <si>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</si>
  <si>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</si>
  <si>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</si>
  <si>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</si>
  <si>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</si>
  <si>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</si>
  <si>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</si>
  <si>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</si>
  <si>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</si>
  <si>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</si>
  <si>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</si>
  <si>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</si>
  <si>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</si>
  <si>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</si>
  <si>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</si>
  <si>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</si>
  <si>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</si>
  <si>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</si>
  <si>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</si>
  <si>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</si>
  <si>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</si>
  <si>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</si>
  <si>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</si>
  <si>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</si>
  <si>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</si>
  <si>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</si>
  <si>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</si>
  <si>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</si>
  <si>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</si>
  <si>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</si>
  <si>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</si>
  <si>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</si>
  <si>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</si>
  <si>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</si>
  <si>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</si>
  <si>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</si>
  <si>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</si>
  <si>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</si>
  <si>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</si>
  <si>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</si>
  <si>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</si>
  <si>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</si>
  <si>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</si>
  <si>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</si>
  <si>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</si>
  <si>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</si>
  <si>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</si>
  <si>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</si>
  <si>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</si>
  <si>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</si>
  <si>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</si>
  <si>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</si>
  <si>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</si>
  <si>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</si>
  <si>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</si>
  <si>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</si>
  <si>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</si>
  <si>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</si>
  <si>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</si>
  <si>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</si>
  <si>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</si>
  <si>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</si>
  <si>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</si>
  <si>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</si>
  <si>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</si>
  <si>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</si>
  <si>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</si>
  <si>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</si>
  <si>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</si>
  <si>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</si>
  <si>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</si>
  <si>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</si>
  <si>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</si>
  <si>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</si>
  <si>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</si>
  <si>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</si>
  <si>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</si>
  <si>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</si>
  <si>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</si>
  <si>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</si>
  <si>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</si>
  <si>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</si>
  <si>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</si>
  <si>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</si>
  <si>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</si>
  <si>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</si>
  <si>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</si>
  <si>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</si>
  <si>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</si>
  <si>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</si>
  <si>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</si>
  <si>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</si>
  <si>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</si>
  <si>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</si>
  <si>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</si>
  <si>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</si>
  <si>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</si>
  <si>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</si>
  <si>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</si>
  <si>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</si>
  <si>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</si>
  <si>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</si>
  <si>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</si>
  <si>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</si>
  <si>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</si>
  <si>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</si>
  <si>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</si>
  <si>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</si>
  <si>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</si>
  <si>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</si>
  <si>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</si>
  <si>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</si>
  <si>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</si>
  <si>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</si>
  <si>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</si>
  <si>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</si>
  <si>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</si>
  <si>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</si>
  <si>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</si>
  <si>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</si>
  <si>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</si>
  <si>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</si>
  <si>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</si>
  <si>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</si>
  <si>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</si>
  <si>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</si>
  <si>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</si>
  <si>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</si>
  <si>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</si>
  <si>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</si>
  <si>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</si>
  <si>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</si>
  <si>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</si>
  <si>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</si>
  <si>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</si>
  <si>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</si>
  <si>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</si>
  <si>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</si>
  <si>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</si>
  <si>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</si>
  <si>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</si>
  <si>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</si>
  <si>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</si>
  <si>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</si>
  <si>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</si>
  <si>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</si>
  <si>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</si>
  <si>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</si>
  <si>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</si>
  <si>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</si>
  <si>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</si>
  <si>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</si>
  <si>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</si>
  <si>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</si>
  <si>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</si>
  <si>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</si>
  <si>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</si>
  <si>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</si>
  <si>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</si>
  <si>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</si>
  <si>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</si>
  <si>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</si>
  <si>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</si>
  <si>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</si>
  <si>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</si>
  <si>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</si>
  <si>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</si>
  <si>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</si>
  <si>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</si>
  <si>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</si>
  <si>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</si>
  <si>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</si>
  <si>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</si>
  <si>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</si>
  <si>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</si>
  <si>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</si>
  <si>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</si>
  <si>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</si>
  <si>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</si>
  <si>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</si>
  <si>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</si>
  <si>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</si>
  <si>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</si>
  <si>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</si>
  <si>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</si>
  <si>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</si>
  <si>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</si>
  <si>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</si>
  <si>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</si>
  <si>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</si>
  <si>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</si>
  <si>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</si>
  <si>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</si>
  <si>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</si>
  <si>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</si>
  <si>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</si>
  <si>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</si>
  <si>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</si>
  <si>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</si>
  <si>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</si>
  <si>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</si>
  <si>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</si>
  <si>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</si>
  <si>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</si>
  <si>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</si>
  <si>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</si>
  <si>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</si>
  <si>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</si>
  <si>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</si>
  <si>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</si>
  <si>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</si>
  <si>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</si>
  <si>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</si>
  <si>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</si>
  <si>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</si>
  <si>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</si>
  <si>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</si>
  <si>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</si>
  <si>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</si>
  <si>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</si>
  <si>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</si>
  <si>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</si>
  <si>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</si>
  <si>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</si>
  <si>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</si>
  <si>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</si>
  <si>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</si>
  <si>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</si>
  <si>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</si>
  <si>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</si>
  <si>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</si>
  <si>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</si>
  <si>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</si>
  <si>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</si>
  <si>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</si>
  <si>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</si>
  <si>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</si>
  <si>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</si>
  <si>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</si>
  <si>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</si>
  <si>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</si>
  <si>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</si>
  <si>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</si>
  <si>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</si>
  <si>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</si>
  <si>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</si>
  <si>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</si>
  <si>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</si>
  <si>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</si>
  <si>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</si>
  <si>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</si>
  <si>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</si>
  <si>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</si>
  <si>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</si>
  <si>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</si>
  <si>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</si>
  <si>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</si>
  <si>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</si>
  <si>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</si>
  <si>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</si>
  <si>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</si>
  <si>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</si>
  <si>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</si>
  <si>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</si>
  <si>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</si>
  <si>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</si>
  <si>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</si>
  <si>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</si>
  <si>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</si>
  <si>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</si>
  <si>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</si>
  <si>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</si>
  <si>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</si>
  <si>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</si>
  <si>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</si>
  <si>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</si>
  <si>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</si>
  <si>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"МОНБАТ" АД</t>
  </si>
  <si>
    <t>консолидиран</t>
  </si>
  <si>
    <t>ЕКОБАТ АД СОФИЯ</t>
  </si>
  <si>
    <t>09.2009 г.</t>
  </si>
  <si>
    <t>Забележка: В отчетите на Монбат ДОО Сърбия  част от машините (инсталация Енджитек) са прекласифицирани като съоръжения, както се води в предприятието-майка.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</si>
</sst>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9" fillId="0" borderId="0" xfId="27" applyNumberFormat="1" applyFont="1" applyAlignment="1" applyProtection="1">
      <alignment horizontal="left" vertical="top" wrapText="1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115" zoomScaleNormal="115" workbookViewId="0" topLeftCell="C82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573" t="s">
        <v>869</v>
      </c>
      <c r="F3" s="217" t="s">
        <v>2</v>
      </c>
      <c r="G3" s="172"/>
      <c r="H3" s="574">
        <v>111028849</v>
      </c>
    </row>
    <row r="4" spans="1:8" ht="15">
      <c r="A4" s="581" t="s">
        <v>3</v>
      </c>
      <c r="B4" s="587"/>
      <c r="C4" s="587"/>
      <c r="D4" s="587"/>
      <c r="E4" s="573" t="s">
        <v>870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3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6997</v>
      </c>
      <c r="D11" s="151">
        <v>6861</v>
      </c>
      <c r="E11" s="237" t="s">
        <v>22</v>
      </c>
      <c r="F11" s="242" t="s">
        <v>23</v>
      </c>
      <c r="G11" s="152">
        <v>39000</v>
      </c>
      <c r="H11" s="152">
        <v>39000</v>
      </c>
    </row>
    <row r="12" spans="1:8" ht="15">
      <c r="A12" s="235" t="s">
        <v>24</v>
      </c>
      <c r="B12" s="241" t="s">
        <v>25</v>
      </c>
      <c r="C12" s="151">
        <v>20960</v>
      </c>
      <c r="D12" s="151">
        <v>18640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25920</v>
      </c>
      <c r="D13" s="151">
        <v>33307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19518</v>
      </c>
      <c r="D14" s="151">
        <v>1769</v>
      </c>
      <c r="E14" s="243" t="s">
        <v>34</v>
      </c>
      <c r="F14" s="242" t="s">
        <v>35</v>
      </c>
      <c r="G14" s="316">
        <v>-1025</v>
      </c>
      <c r="H14" s="316">
        <v>-467</v>
      </c>
    </row>
    <row r="15" spans="1:8" ht="15">
      <c r="A15" s="235" t="s">
        <v>36</v>
      </c>
      <c r="B15" s="241" t="s">
        <v>37</v>
      </c>
      <c r="C15" s="151">
        <v>2575</v>
      </c>
      <c r="D15" s="151">
        <v>2306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1810</v>
      </c>
      <c r="D16" s="151">
        <v>2062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19023</v>
      </c>
      <c r="D17" s="151">
        <v>23978</v>
      </c>
      <c r="E17" s="243" t="s">
        <v>46</v>
      </c>
      <c r="F17" s="245" t="s">
        <v>47</v>
      </c>
      <c r="G17" s="154">
        <f>G11+G14+G15+G16</f>
        <v>37975</v>
      </c>
      <c r="H17" s="154">
        <f>H11+H14+H15+H16</f>
        <v>38533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96803</v>
      </c>
      <c r="D19" s="155">
        <f>SUM(D11:D18)</f>
        <v>88923</v>
      </c>
      <c r="E19" s="237" t="s">
        <v>53</v>
      </c>
      <c r="F19" s="242" t="s">
        <v>54</v>
      </c>
      <c r="G19" s="152">
        <v>22769</v>
      </c>
      <c r="H19" s="152">
        <v>24760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7080</v>
      </c>
      <c r="H20" s="158">
        <v>7080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36087</v>
      </c>
      <c r="H21" s="156">
        <f>SUM(H22:H24)</f>
        <v>9792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36087</v>
      </c>
      <c r="H22" s="152">
        <v>9792</v>
      </c>
    </row>
    <row r="23" spans="1:13" ht="15">
      <c r="A23" s="235" t="s">
        <v>66</v>
      </c>
      <c r="B23" s="241" t="s">
        <v>67</v>
      </c>
      <c r="C23" s="151">
        <v>44</v>
      </c>
      <c r="D23" s="151">
        <v>24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11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65936</v>
      </c>
      <c r="H25" s="154">
        <f>H19+H20+H21</f>
        <v>41632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4</v>
      </c>
      <c r="D26" s="151">
        <v>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57</v>
      </c>
      <c r="D27" s="155">
        <f>SUM(D23:D26)</f>
        <v>41</v>
      </c>
      <c r="E27" s="253" t="s">
        <v>83</v>
      </c>
      <c r="F27" s="242" t="s">
        <v>84</v>
      </c>
      <c r="G27" s="154">
        <f>SUM(G28:G30)</f>
        <v>-465</v>
      </c>
      <c r="H27" s="154">
        <f>SUM(H28:H30)</f>
        <v>-313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-465</v>
      </c>
      <c r="H29" s="316">
        <v>-313</v>
      </c>
      <c r="M29" s="157"/>
    </row>
    <row r="30" spans="1:8" ht="15">
      <c r="A30" s="235" t="s">
        <v>90</v>
      </c>
      <c r="B30" s="241" t="s">
        <v>91</v>
      </c>
      <c r="C30" s="151">
        <v>675</v>
      </c>
      <c r="D30" s="151">
        <v>519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12373</v>
      </c>
      <c r="H31" s="152">
        <v>26143</v>
      </c>
      <c r="M31" s="157"/>
    </row>
    <row r="32" spans="1:15" ht="15">
      <c r="A32" s="235" t="s">
        <v>98</v>
      </c>
      <c r="B32" s="250" t="s">
        <v>99</v>
      </c>
      <c r="C32" s="155">
        <f>C30+C31</f>
        <v>675</v>
      </c>
      <c r="D32" s="155">
        <f>D30+D31</f>
        <v>519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11908</v>
      </c>
      <c r="H33" s="154">
        <f>H27+H31+H32</f>
        <v>25830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8</v>
      </c>
      <c r="D34" s="155">
        <f>SUM(D35:D38)</f>
        <v>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115819</v>
      </c>
      <c r="H36" s="154">
        <f>H25+H17+H33</f>
        <v>105995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837</v>
      </c>
      <c r="H39" s="158">
        <v>487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7</v>
      </c>
      <c r="H43" s="152">
        <v>7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34787</v>
      </c>
      <c r="H44" s="152">
        <f>24428-2981</f>
        <v>21447</v>
      </c>
    </row>
    <row r="45" spans="1:15" ht="15">
      <c r="A45" s="235" t="s">
        <v>136</v>
      </c>
      <c r="B45" s="249" t="s">
        <v>137</v>
      </c>
      <c r="C45" s="155">
        <f>C34+C39+C44</f>
        <v>8</v>
      </c>
      <c r="D45" s="155">
        <f>D34+D39+D44</f>
        <v>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2158</v>
      </c>
      <c r="H46" s="152">
        <f>1918-332</f>
        <v>1586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229</v>
      </c>
      <c r="H48" s="152">
        <v>55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37181</v>
      </c>
      <c r="H49" s="154">
        <f>SUM(H43:H48)</f>
        <v>23095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2160</v>
      </c>
      <c r="H53" s="152">
        <v>2160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25</v>
      </c>
      <c r="H54" s="152">
        <v>25</v>
      </c>
    </row>
    <row r="55" spans="1:18" ht="25.5">
      <c r="A55" s="269" t="s">
        <v>170</v>
      </c>
      <c r="B55" s="270" t="s">
        <v>171</v>
      </c>
      <c r="C55" s="155">
        <f>C19+C20+C21+C27+C32+C45+C51+C53+C54</f>
        <v>97543</v>
      </c>
      <c r="D55" s="155">
        <f>D19+D20+D21+D27+D32+D45+D51+D53+D54</f>
        <v>89491</v>
      </c>
      <c r="E55" s="237" t="s">
        <v>172</v>
      </c>
      <c r="F55" s="261" t="s">
        <v>173</v>
      </c>
      <c r="G55" s="154">
        <f>G49+G51+G52+G53+G54</f>
        <v>39366</v>
      </c>
      <c r="H55" s="154">
        <f>H49+H51+H52+H53+H54</f>
        <v>25280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9990</v>
      </c>
      <c r="D58" s="151">
        <v>5757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3719</v>
      </c>
      <c r="D59" s="151">
        <v>3352</v>
      </c>
      <c r="E59" s="251" t="s">
        <v>181</v>
      </c>
      <c r="F59" s="242" t="s">
        <v>182</v>
      </c>
      <c r="G59" s="152">
        <v>6194</v>
      </c>
      <c r="H59" s="152">
        <v>8848</v>
      </c>
      <c r="M59" s="157"/>
    </row>
    <row r="60" spans="1:8" ht="15">
      <c r="A60" s="235" t="s">
        <v>183</v>
      </c>
      <c r="B60" s="241" t="s">
        <v>184</v>
      </c>
      <c r="C60" s="151">
        <v>71</v>
      </c>
      <c r="D60" s="151">
        <v>74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24579</v>
      </c>
      <c r="D61" s="151">
        <v>25852</v>
      </c>
      <c r="E61" s="243" t="s">
        <v>189</v>
      </c>
      <c r="F61" s="272" t="s">
        <v>190</v>
      </c>
      <c r="G61" s="154">
        <f>SUM(G62:G68)</f>
        <v>16148</v>
      </c>
      <c r="H61" s="154">
        <f>SUM(H62:H68)</f>
        <v>12551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193</v>
      </c>
      <c r="H62" s="152">
        <v>239</v>
      </c>
    </row>
    <row r="63" spans="1:13" ht="15">
      <c r="A63" s="235" t="s">
        <v>195</v>
      </c>
      <c r="B63" s="241" t="s">
        <v>196</v>
      </c>
      <c r="C63" s="151">
        <v>27</v>
      </c>
      <c r="D63" s="151"/>
      <c r="E63" s="237" t="s">
        <v>197</v>
      </c>
      <c r="F63" s="242" t="s">
        <v>198</v>
      </c>
      <c r="G63" s="152">
        <v>29</v>
      </c>
      <c r="H63" s="152">
        <v>338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38386</v>
      </c>
      <c r="D64" s="155">
        <f>SUM(D58:D63)</f>
        <v>35035</v>
      </c>
      <c r="E64" s="237" t="s">
        <v>200</v>
      </c>
      <c r="F64" s="242" t="s">
        <v>201</v>
      </c>
      <c r="G64" s="152">
        <v>14657</v>
      </c>
      <c r="H64" s="152">
        <f>9399-475-11</f>
        <v>8913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f>42</f>
        <v>42</v>
      </c>
      <c r="H65" s="152">
        <v>475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715</v>
      </c>
      <c r="H66" s="152">
        <v>676</v>
      </c>
    </row>
    <row r="67" spans="1:8" ht="15">
      <c r="A67" s="235" t="s">
        <v>207</v>
      </c>
      <c r="B67" s="241" t="s">
        <v>208</v>
      </c>
      <c r="C67" s="151">
        <v>2991</v>
      </c>
      <c r="D67" s="151">
        <v>3647</v>
      </c>
      <c r="E67" s="237" t="s">
        <v>209</v>
      </c>
      <c r="F67" s="242" t="s">
        <v>210</v>
      </c>
      <c r="G67" s="152">
        <v>382</v>
      </c>
      <c r="H67" s="152">
        <v>520</v>
      </c>
    </row>
    <row r="68" spans="1:8" ht="15">
      <c r="A68" s="235" t="s">
        <v>211</v>
      </c>
      <c r="B68" s="241" t="s">
        <v>212</v>
      </c>
      <c r="C68" s="151">
        <f>21001-C69</f>
        <v>20364</v>
      </c>
      <c r="D68" s="151">
        <f>17906-683+22</f>
        <v>17245</v>
      </c>
      <c r="E68" s="237" t="s">
        <v>213</v>
      </c>
      <c r="F68" s="242" t="s">
        <v>214</v>
      </c>
      <c r="G68" s="152">
        <v>130</v>
      </c>
      <c r="H68" s="152">
        <v>1390</v>
      </c>
    </row>
    <row r="69" spans="1:8" ht="15">
      <c r="A69" s="235" t="s">
        <v>215</v>
      </c>
      <c r="B69" s="241" t="s">
        <v>216</v>
      </c>
      <c r="C69" s="151">
        <f>376+29+188+13+31</f>
        <v>637</v>
      </c>
      <c r="D69" s="151">
        <f>24+145+475+39</f>
        <v>683</v>
      </c>
      <c r="E69" s="251" t="s">
        <v>78</v>
      </c>
      <c r="F69" s="242" t="s">
        <v>217</v>
      </c>
      <c r="G69" s="152">
        <v>854</v>
      </c>
      <c r="H69" s="152">
        <v>1266</v>
      </c>
    </row>
    <row r="70" spans="1:8" ht="15">
      <c r="A70" s="235" t="s">
        <v>218</v>
      </c>
      <c r="B70" s="241" t="s">
        <v>219</v>
      </c>
      <c r="C70" s="151">
        <v>2160</v>
      </c>
      <c r="D70" s="151">
        <v>638</v>
      </c>
      <c r="E70" s="237" t="s">
        <v>220</v>
      </c>
      <c r="F70" s="242" t="s">
        <v>221</v>
      </c>
      <c r="G70" s="152">
        <v>17</v>
      </c>
      <c r="H70" s="152">
        <v>88</v>
      </c>
    </row>
    <row r="71" spans="1:18" ht="15">
      <c r="A71" s="235" t="s">
        <v>222</v>
      </c>
      <c r="B71" s="241" t="s">
        <v>223</v>
      </c>
      <c r="C71" s="151">
        <v>5</v>
      </c>
      <c r="D71" s="151">
        <v>15</v>
      </c>
      <c r="E71" s="253" t="s">
        <v>46</v>
      </c>
      <c r="F71" s="273" t="s">
        <v>224</v>
      </c>
      <c r="G71" s="161">
        <f>G59+G60+G61+G69+G70</f>
        <v>23213</v>
      </c>
      <c r="H71" s="161">
        <f>H59+H60+H61+H69+H70</f>
        <v>22753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3523</v>
      </c>
      <c r="D72" s="151">
        <v>2132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1081</v>
      </c>
      <c r="D74" s="151">
        <v>816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30761</v>
      </c>
      <c r="D75" s="155">
        <f>SUM(D67:D74)</f>
        <v>25176</v>
      </c>
      <c r="E75" s="251" t="s">
        <v>160</v>
      </c>
      <c r="F75" s="245" t="s">
        <v>234</v>
      </c>
      <c r="G75" s="152"/>
      <c r="H75" s="152">
        <f>206-183</f>
        <v>23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183</v>
      </c>
      <c r="H76" s="152">
        <v>183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23396</v>
      </c>
      <c r="H79" s="162">
        <f>H71+H74+H75+H76</f>
        <v>22959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6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449</v>
      </c>
      <c r="D87" s="151">
        <v>59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11593</f>
        <v>11593</v>
      </c>
      <c r="D88" s="151">
        <v>4434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153</v>
      </c>
      <c r="D89" s="151">
        <v>141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12195</v>
      </c>
      <c r="D91" s="155">
        <f>SUM(D87:D90)</f>
        <v>4634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527</v>
      </c>
      <c r="D92" s="151">
        <v>385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81875</v>
      </c>
      <c r="D93" s="155">
        <f>D64+D75+D84+D91+D92</f>
        <v>65230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179418</v>
      </c>
      <c r="D94" s="164">
        <f>D93+D55</f>
        <v>154721</v>
      </c>
      <c r="E94" s="449" t="s">
        <v>270</v>
      </c>
      <c r="F94" s="289" t="s">
        <v>271</v>
      </c>
      <c r="G94" s="165">
        <f>G36+G39+G55+G79</f>
        <v>179418</v>
      </c>
      <c r="H94" s="165">
        <f>H36+H39+H55+H79</f>
        <v>154721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576">
        <f>+G94-C94</f>
        <v>0</v>
      </c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860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115" zoomScaleNormal="115" workbookViewId="0" topLeftCell="A34">
      <selection activeCell="A47" sqref="A47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90" t="str">
        <f>'справка №1-БАЛАНС'!E3</f>
        <v>"МОНБАТ" АД</v>
      </c>
      <c r="C2" s="590"/>
      <c r="D2" s="590"/>
      <c r="E2" s="590"/>
      <c r="F2" s="578" t="s">
        <v>2</v>
      </c>
      <c r="G2" s="578"/>
      <c r="H2" s="524">
        <f>'справка №1-БАЛАНС'!H3</f>
        <v>111028849</v>
      </c>
    </row>
    <row r="3" spans="1:8" ht="15">
      <c r="A3" s="466" t="s">
        <v>275</v>
      </c>
      <c r="B3" s="590" t="str">
        <f>'справка №1-БАЛАНС'!E4</f>
        <v>консолидиран</v>
      </c>
      <c r="C3" s="590"/>
      <c r="D3" s="590"/>
      <c r="E3" s="590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6" t="s">
        <v>5</v>
      </c>
      <c r="B4" s="577" t="str">
        <f>'справка №1-БАЛАНС'!E5</f>
        <v>09.2009 г.</v>
      </c>
      <c r="C4" s="577"/>
      <c r="D4" s="577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38334</v>
      </c>
      <c r="D9" s="46">
        <f>87371-8345</f>
        <v>79026</v>
      </c>
      <c r="E9" s="298" t="s">
        <v>285</v>
      </c>
      <c r="F9" s="547" t="s">
        <v>286</v>
      </c>
      <c r="G9" s="548">
        <v>69806</v>
      </c>
      <c r="H9" s="548">
        <v>118548</v>
      </c>
    </row>
    <row r="10" spans="1:8" ht="12">
      <c r="A10" s="298" t="s">
        <v>287</v>
      </c>
      <c r="B10" s="299" t="s">
        <v>288</v>
      </c>
      <c r="C10" s="46">
        <v>7772</v>
      </c>
      <c r="D10" s="46">
        <f>13610-4499</f>
        <v>9111</v>
      </c>
      <c r="E10" s="298" t="s">
        <v>289</v>
      </c>
      <c r="F10" s="547" t="s">
        <v>290</v>
      </c>
      <c r="G10" s="548">
        <v>187</v>
      </c>
      <c r="H10" s="548">
        <v>265</v>
      </c>
    </row>
    <row r="11" spans="1:8" ht="12">
      <c r="A11" s="298" t="s">
        <v>291</v>
      </c>
      <c r="B11" s="299" t="s">
        <v>292</v>
      </c>
      <c r="C11" s="46">
        <v>3552</v>
      </c>
      <c r="D11" s="46">
        <v>2976</v>
      </c>
      <c r="E11" s="300" t="s">
        <v>293</v>
      </c>
      <c r="F11" s="547" t="s">
        <v>294</v>
      </c>
      <c r="G11" s="548">
        <v>838</v>
      </c>
      <c r="H11" s="548">
        <v>738</v>
      </c>
    </row>
    <row r="12" spans="1:8" ht="12">
      <c r="A12" s="298" t="s">
        <v>295</v>
      </c>
      <c r="B12" s="299" t="s">
        <v>296</v>
      </c>
      <c r="C12" s="46">
        <v>5575</v>
      </c>
      <c r="D12" s="46">
        <v>7751</v>
      </c>
      <c r="E12" s="300" t="s">
        <v>78</v>
      </c>
      <c r="F12" s="547" t="s">
        <v>297</v>
      </c>
      <c r="G12" s="548">
        <v>2802</v>
      </c>
      <c r="H12" s="548">
        <v>2504</v>
      </c>
    </row>
    <row r="13" spans="1:18" ht="12">
      <c r="A13" s="298" t="s">
        <v>298</v>
      </c>
      <c r="B13" s="299" t="s">
        <v>299</v>
      </c>
      <c r="C13" s="46">
        <v>1326</v>
      </c>
      <c r="D13" s="46">
        <v>1710</v>
      </c>
      <c r="E13" s="301" t="s">
        <v>51</v>
      </c>
      <c r="F13" s="549" t="s">
        <v>300</v>
      </c>
      <c r="G13" s="546">
        <f>SUM(G9:G12)</f>
        <v>73633</v>
      </c>
      <c r="H13" s="546">
        <f>SUM(H9:H12)</f>
        <v>122055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1375</v>
      </c>
      <c r="D14" s="46">
        <v>2341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1255</v>
      </c>
      <c r="D15" s="47">
        <v>-5558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910</v>
      </c>
      <c r="D16" s="47">
        <v>1052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>
        <v>22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60099</v>
      </c>
      <c r="D19" s="49">
        <f>SUM(D9:D15)+D16</f>
        <v>98409</v>
      </c>
      <c r="E19" s="304" t="s">
        <v>317</v>
      </c>
      <c r="F19" s="550" t="s">
        <v>318</v>
      </c>
      <c r="G19" s="548">
        <v>420</v>
      </c>
      <c r="H19" s="548">
        <v>54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1092</v>
      </c>
      <c r="D22" s="46">
        <v>1008</v>
      </c>
      <c r="E22" s="304" t="s">
        <v>326</v>
      </c>
      <c r="F22" s="550" t="s">
        <v>327</v>
      </c>
      <c r="G22" s="548">
        <f>247</f>
        <v>247</v>
      </c>
      <c r="H22" s="548">
        <v>1080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4</v>
      </c>
      <c r="H23" s="548"/>
    </row>
    <row r="24" spans="1:18" ht="12">
      <c r="A24" s="298" t="s">
        <v>332</v>
      </c>
      <c r="B24" s="305" t="s">
        <v>333</v>
      </c>
      <c r="C24" s="46">
        <v>156</v>
      </c>
      <c r="D24" s="46">
        <v>240</v>
      </c>
      <c r="E24" s="301" t="s">
        <v>103</v>
      </c>
      <c r="F24" s="552" t="s">
        <v>334</v>
      </c>
      <c r="G24" s="546">
        <f>SUM(G19:G23)</f>
        <v>671</v>
      </c>
      <c r="H24" s="546">
        <f>SUM(H19:H23)</f>
        <v>1134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478</v>
      </c>
      <c r="D25" s="46">
        <v>387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1726</v>
      </c>
      <c r="D26" s="49">
        <f>SUM(D22:D25)</f>
        <v>1635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61825</v>
      </c>
      <c r="D28" s="50">
        <f>D26+D19</f>
        <v>100044</v>
      </c>
      <c r="E28" s="127" t="s">
        <v>339</v>
      </c>
      <c r="F28" s="552" t="s">
        <v>340</v>
      </c>
      <c r="G28" s="546">
        <f>G13+G15+G24</f>
        <v>74304</v>
      </c>
      <c r="H28" s="546">
        <f>H13+H15+H24</f>
        <v>123189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12479</v>
      </c>
      <c r="D30" s="50">
        <f>IF((H28-D28)&gt;0,H28-D28,0)</f>
        <v>23145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856</v>
      </c>
      <c r="B31" s="306" t="s">
        <v>345</v>
      </c>
      <c r="C31" s="46"/>
      <c r="D31" s="46"/>
      <c r="E31" s="296" t="s">
        <v>859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61825</v>
      </c>
      <c r="D33" s="49">
        <f>D28-D31+D32</f>
        <v>100044</v>
      </c>
      <c r="E33" s="127" t="s">
        <v>353</v>
      </c>
      <c r="F33" s="552" t="s">
        <v>354</v>
      </c>
      <c r="G33" s="53">
        <f>G32-G31+G28</f>
        <v>74304</v>
      </c>
      <c r="H33" s="53">
        <f>H32-H31+H28</f>
        <v>123189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12479</v>
      </c>
      <c r="D34" s="50">
        <f>IF((H33-D33)&gt;0,H33-D33,0)</f>
        <v>23145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60">
        <f>+IF((G33-C33-C35)&gt;0,G33-C33-C35,0)</f>
        <v>12479</v>
      </c>
      <c r="D39" s="460">
        <f>+IF((H33-D33-D35)&gt;0,H33-D33-D35,0)</f>
        <v>23145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>
        <v>106</v>
      </c>
      <c r="D40" s="51">
        <v>38</v>
      </c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12373</v>
      </c>
      <c r="D41" s="52">
        <f>IF(H39=0,IF(D39-D40&gt;0,D39-D40+H40,0),IF(H39-H40&lt;0,H40-H39+D39,0))</f>
        <v>23107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74304</v>
      </c>
      <c r="D42" s="53">
        <f>D33+D35+D39</f>
        <v>123189</v>
      </c>
      <c r="E42" s="128" t="s">
        <v>380</v>
      </c>
      <c r="F42" s="129" t="s">
        <v>381</v>
      </c>
      <c r="G42" s="53">
        <f>G39+G33</f>
        <v>74304</v>
      </c>
      <c r="H42" s="53">
        <f>H39+H33</f>
        <v>123189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79" t="s">
        <v>867</v>
      </c>
      <c r="B45" s="579"/>
      <c r="C45" s="579"/>
      <c r="D45" s="579"/>
      <c r="E45" s="579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/>
      <c r="C48" s="427" t="s">
        <v>383</v>
      </c>
      <c r="D48" s="588"/>
      <c r="E48" s="588"/>
      <c r="F48" s="588"/>
      <c r="G48" s="588"/>
      <c r="H48" s="588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785</v>
      </c>
      <c r="D50" s="589"/>
      <c r="E50" s="589"/>
      <c r="F50" s="589"/>
      <c r="G50" s="589"/>
      <c r="H50" s="589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7" bottom="0.23" header="0.16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15" zoomScaleNormal="115" workbookViewId="0" topLeftCell="A27">
      <selection activeCell="C29" sqref="C2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385</v>
      </c>
      <c r="B4" s="469" t="str">
        <f>'справка №1-БАЛАНС'!E3</f>
        <v>"МОНБАТ" АД</v>
      </c>
      <c r="C4" s="539" t="s">
        <v>2</v>
      </c>
      <c r="D4" s="539">
        <f>'справка №1-БАЛАНС'!H3</f>
        <v>111028849</v>
      </c>
      <c r="E4" s="323"/>
      <c r="F4" s="323"/>
    </row>
    <row r="5" spans="1:4" ht="15">
      <c r="A5" s="469" t="s">
        <v>275</v>
      </c>
      <c r="B5" s="469" t="str">
        <f>'справка №1-БАЛАНС'!E4</f>
        <v>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4" t="str">
        <f>'справка №1-БАЛАНС'!E5</f>
        <v>09.2009 г.</v>
      </c>
      <c r="C6" s="471"/>
      <c r="D6" s="472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72874</v>
      </c>
      <c r="D10" s="54">
        <v>124909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-55808</v>
      </c>
      <c r="D11" s="54">
        <v>-98114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-7580</v>
      </c>
      <c r="D13" s="54">
        <v>-8595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4173</v>
      </c>
      <c r="D14" s="54">
        <v>5374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-2094</v>
      </c>
      <c r="D15" s="54">
        <v>-2022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6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>
        <v>-120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27</v>
      </c>
      <c r="D18" s="54">
        <v>-140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-702</v>
      </c>
      <c r="D19" s="54">
        <v>-567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10896</v>
      </c>
      <c r="D20" s="55">
        <f>SUM(D10:D19)</f>
        <v>20725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-9232</v>
      </c>
      <c r="D22" s="54">
        <v>-16418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-725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727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>
        <v>183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-9230</v>
      </c>
      <c r="D32" s="55">
        <f>SUM(D22:D31)</f>
        <v>-16235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>
        <v>-2549</v>
      </c>
      <c r="D35" s="54">
        <v>-2156</v>
      </c>
      <c r="E35" s="130"/>
      <c r="F35" s="130"/>
    </row>
    <row r="36" spans="1:6" ht="12">
      <c r="A36" s="332" t="s">
        <v>437</v>
      </c>
      <c r="B36" s="333" t="s">
        <v>438</v>
      </c>
      <c r="C36" s="54">
        <v>25686</v>
      </c>
      <c r="D36" s="54">
        <v>16855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-15430</v>
      </c>
      <c r="D37" s="54">
        <v>-17932</v>
      </c>
      <c r="E37" s="130"/>
      <c r="F37" s="130"/>
    </row>
    <row r="38" spans="1:6" ht="12">
      <c r="A38" s="332" t="s">
        <v>441</v>
      </c>
      <c r="B38" s="333" t="s">
        <v>442</v>
      </c>
      <c r="C38" s="54">
        <v>-509</v>
      </c>
      <c r="D38" s="54">
        <v>-426</v>
      </c>
      <c r="E38" s="130"/>
      <c r="F38" s="130"/>
    </row>
    <row r="39" spans="1:6" ht="12">
      <c r="A39" s="332" t="s">
        <v>443</v>
      </c>
      <c r="B39" s="333" t="s">
        <v>444</v>
      </c>
      <c r="C39" s="54">
        <v>-772</v>
      </c>
      <c r="D39" s="54">
        <v>-931</v>
      </c>
      <c r="E39" s="130"/>
      <c r="F39" s="130"/>
    </row>
    <row r="40" spans="1:6" ht="12">
      <c r="A40" s="332" t="s">
        <v>445</v>
      </c>
      <c r="B40" s="333" t="s">
        <v>446</v>
      </c>
      <c r="C40" s="54">
        <v>-50</v>
      </c>
      <c r="D40" s="54">
        <v>-3215</v>
      </c>
      <c r="E40" s="130"/>
      <c r="F40" s="130"/>
    </row>
    <row r="41" spans="1:8" ht="12">
      <c r="A41" s="332" t="s">
        <v>447</v>
      </c>
      <c r="B41" s="333" t="s">
        <v>448</v>
      </c>
      <c r="C41" s="54">
        <v>-489</v>
      </c>
      <c r="D41" s="54">
        <v>-350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5887</v>
      </c>
      <c r="D42" s="55">
        <f>SUM(D34:D41)</f>
        <v>-8155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7553</v>
      </c>
      <c r="D43" s="55">
        <f>D42+D32+D20</f>
        <v>-3665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4642</v>
      </c>
      <c r="D44" s="132">
        <v>5934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12195</v>
      </c>
      <c r="D45" s="55">
        <f>D44+D43</f>
        <v>2269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f>+C45-C47</f>
        <v>12042</v>
      </c>
      <c r="D46" s="56">
        <f>+D45-D47</f>
        <v>2129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153</v>
      </c>
      <c r="D47" s="56">
        <v>140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8" top="0.44" bottom="0.4" header="0.35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115" zoomScaleNormal="115" workbookViewId="0" topLeftCell="B22">
      <selection activeCell="I19" sqref="I19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1" t="s">
        <v>461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3" t="str">
        <f>'справка №1-БАЛАНС'!E3</f>
        <v>"МОНБАТ" АД</v>
      </c>
      <c r="C3" s="593"/>
      <c r="D3" s="593"/>
      <c r="E3" s="593"/>
      <c r="F3" s="593"/>
      <c r="G3" s="593"/>
      <c r="H3" s="593"/>
      <c r="I3" s="593"/>
      <c r="J3" s="475"/>
      <c r="K3" s="595" t="s">
        <v>2</v>
      </c>
      <c r="L3" s="595"/>
      <c r="M3" s="477">
        <f>'справка №1-БАЛАНС'!H3</f>
        <v>111028849</v>
      </c>
      <c r="N3" s="2"/>
    </row>
    <row r="4" spans="1:15" s="530" customFormat="1" ht="13.5" customHeight="1">
      <c r="A4" s="466" t="s">
        <v>462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597" t="str">
        <f>'справка №1-БАЛАНС'!E5</f>
        <v>09.2009 г.</v>
      </c>
      <c r="C5" s="597"/>
      <c r="D5" s="597"/>
      <c r="E5" s="597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38533</v>
      </c>
      <c r="D11" s="58">
        <f>'справка №1-БАЛАНС'!H19</f>
        <v>24760</v>
      </c>
      <c r="E11" s="58">
        <f>'справка №1-БАЛАНС'!H20</f>
        <v>7080</v>
      </c>
      <c r="F11" s="58">
        <f>'справка №1-БАЛАНС'!H22</f>
        <v>9792</v>
      </c>
      <c r="G11" s="58">
        <f>'справка №1-БАЛАНС'!H23</f>
        <v>0</v>
      </c>
      <c r="H11" s="60"/>
      <c r="I11" s="58">
        <f>'справка №1-БАЛАНС'!H28+'справка №1-БАЛАНС'!H31</f>
        <v>26143</v>
      </c>
      <c r="J11" s="58">
        <f>'справка №1-БАЛАНС'!H29+'справка №1-БАЛАНС'!H32</f>
        <v>-313</v>
      </c>
      <c r="K11" s="60"/>
      <c r="L11" s="344">
        <f>SUM(C11:K11)</f>
        <v>105995</v>
      </c>
      <c r="M11" s="58">
        <f>'справка №1-БАЛАНС'!H39</f>
        <v>487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38533</v>
      </c>
      <c r="D15" s="61">
        <f aca="true" t="shared" si="2" ref="D15:M15">D11+D12</f>
        <v>24760</v>
      </c>
      <c r="E15" s="61">
        <f t="shared" si="2"/>
        <v>7080</v>
      </c>
      <c r="F15" s="61">
        <f t="shared" si="2"/>
        <v>9792</v>
      </c>
      <c r="G15" s="61">
        <f t="shared" si="2"/>
        <v>0</v>
      </c>
      <c r="H15" s="61">
        <f t="shared" si="2"/>
        <v>0</v>
      </c>
      <c r="I15" s="61">
        <f t="shared" si="2"/>
        <v>26143</v>
      </c>
      <c r="J15" s="61">
        <f t="shared" si="2"/>
        <v>-313</v>
      </c>
      <c r="K15" s="61">
        <f t="shared" si="2"/>
        <v>0</v>
      </c>
      <c r="L15" s="344">
        <f t="shared" si="1"/>
        <v>105995</v>
      </c>
      <c r="M15" s="61">
        <f t="shared" si="2"/>
        <v>487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12373</v>
      </c>
      <c r="J16" s="345">
        <f>+'справка №1-БАЛАНС'!G32</f>
        <v>0</v>
      </c>
      <c r="K16" s="60"/>
      <c r="L16" s="344">
        <f t="shared" si="1"/>
        <v>12373</v>
      </c>
      <c r="M16" s="60">
        <v>106</v>
      </c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26143</v>
      </c>
      <c r="G17" s="62">
        <f t="shared" si="3"/>
        <v>0</v>
      </c>
      <c r="H17" s="62">
        <f t="shared" si="3"/>
        <v>0</v>
      </c>
      <c r="I17" s="62">
        <f t="shared" si="3"/>
        <v>-26143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>
        <v>26143</v>
      </c>
      <c r="G19" s="60"/>
      <c r="H19" s="60"/>
      <c r="I19" s="60">
        <v>-26143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>
        <v>-558</v>
      </c>
      <c r="D28" s="60">
        <v>-1991</v>
      </c>
      <c r="E28" s="60"/>
      <c r="F28" s="60">
        <v>152</v>
      </c>
      <c r="G28" s="60"/>
      <c r="H28" s="60"/>
      <c r="I28" s="60"/>
      <c r="J28" s="60">
        <v>-152</v>
      </c>
      <c r="K28" s="60"/>
      <c r="L28" s="344">
        <f t="shared" si="1"/>
        <v>-2549</v>
      </c>
      <c r="M28" s="60">
        <v>244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37975</v>
      </c>
      <c r="D29" s="59">
        <f aca="true" t="shared" si="6" ref="D29:M29">D17+D20+D21+D24+D28+D27+D15+D16</f>
        <v>22769</v>
      </c>
      <c r="E29" s="59">
        <f t="shared" si="6"/>
        <v>7080</v>
      </c>
      <c r="F29" s="59">
        <f t="shared" si="6"/>
        <v>36087</v>
      </c>
      <c r="G29" s="59">
        <f t="shared" si="6"/>
        <v>0</v>
      </c>
      <c r="H29" s="59">
        <f t="shared" si="6"/>
        <v>0</v>
      </c>
      <c r="I29" s="59">
        <f t="shared" si="6"/>
        <v>12373</v>
      </c>
      <c r="J29" s="59">
        <f t="shared" si="6"/>
        <v>-465</v>
      </c>
      <c r="K29" s="59">
        <f t="shared" si="6"/>
        <v>0</v>
      </c>
      <c r="L29" s="344">
        <f t="shared" si="1"/>
        <v>115819</v>
      </c>
      <c r="M29" s="59">
        <f t="shared" si="6"/>
        <v>837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37975</v>
      </c>
      <c r="D32" s="59">
        <f t="shared" si="7"/>
        <v>22769</v>
      </c>
      <c r="E32" s="59">
        <f t="shared" si="7"/>
        <v>7080</v>
      </c>
      <c r="F32" s="59">
        <f t="shared" si="7"/>
        <v>36087</v>
      </c>
      <c r="G32" s="59">
        <f t="shared" si="7"/>
        <v>0</v>
      </c>
      <c r="H32" s="59">
        <f t="shared" si="7"/>
        <v>0</v>
      </c>
      <c r="I32" s="59">
        <f t="shared" si="7"/>
        <v>12373</v>
      </c>
      <c r="J32" s="59">
        <f t="shared" si="7"/>
        <v>-465</v>
      </c>
      <c r="K32" s="59">
        <f t="shared" si="7"/>
        <v>0</v>
      </c>
      <c r="L32" s="344">
        <f t="shared" si="1"/>
        <v>115819</v>
      </c>
      <c r="M32" s="59">
        <f>M29+M30+M31</f>
        <v>837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868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2" t="s">
        <v>523</v>
      </c>
      <c r="E38" s="592"/>
      <c r="F38" s="592"/>
      <c r="G38" s="592"/>
      <c r="H38" s="592"/>
      <c r="I38" s="592"/>
      <c r="J38" s="15" t="s">
        <v>863</v>
      </c>
      <c r="K38" s="15"/>
      <c r="L38" s="592"/>
      <c r="M38" s="592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130" zoomScaleNormal="130" workbookViewId="0" topLeftCell="A34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385</v>
      </c>
      <c r="B2" s="599"/>
      <c r="C2" s="600" t="str">
        <f>'справка №1-БАЛАНС'!E3</f>
        <v>"МОНБАТ" АД</v>
      </c>
      <c r="D2" s="600"/>
      <c r="E2" s="600"/>
      <c r="F2" s="600"/>
      <c r="G2" s="600"/>
      <c r="H2" s="600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111028849</v>
      </c>
      <c r="P2" s="482"/>
      <c r="Q2" s="482"/>
      <c r="R2" s="524"/>
    </row>
    <row r="3" spans="1:18" ht="15">
      <c r="A3" s="598" t="s">
        <v>5</v>
      </c>
      <c r="B3" s="599"/>
      <c r="C3" s="601" t="str">
        <f>'справка №1-БАЛАНС'!E5</f>
        <v>09.2009 г.</v>
      </c>
      <c r="D3" s="601"/>
      <c r="E3" s="601"/>
      <c r="F3" s="484"/>
      <c r="G3" s="484"/>
      <c r="H3" s="484"/>
      <c r="I3" s="484"/>
      <c r="J3" s="484"/>
      <c r="K3" s="484"/>
      <c r="L3" s="484"/>
      <c r="M3" s="602" t="s">
        <v>4</v>
      </c>
      <c r="N3" s="602"/>
      <c r="O3" s="481" t="str">
        <f>'справка №1-БАЛАНС'!H4</f>
        <v> </v>
      </c>
      <c r="P3" s="485"/>
      <c r="Q3" s="485"/>
      <c r="R3" s="525"/>
    </row>
    <row r="4" spans="1:18" ht="12">
      <c r="A4" s="486" t="s">
        <v>525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526</v>
      </c>
    </row>
    <row r="5" spans="1:18" s="100" customFormat="1" ht="30.75" customHeight="1">
      <c r="A5" s="603" t="s">
        <v>465</v>
      </c>
      <c r="B5" s="604"/>
      <c r="C5" s="607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1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12" t="s">
        <v>531</v>
      </c>
      <c r="R5" s="612" t="s">
        <v>532</v>
      </c>
    </row>
    <row r="6" spans="1:18" s="100" customFormat="1" ht="48">
      <c r="A6" s="605"/>
      <c r="B6" s="606"/>
      <c r="C6" s="608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1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13"/>
      <c r="R6" s="61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6861</v>
      </c>
      <c r="E9" s="189">
        <f>117+19</f>
        <v>136</v>
      </c>
      <c r="F9" s="189"/>
      <c r="G9" s="74">
        <f>D9+E9-F9</f>
        <v>6997</v>
      </c>
      <c r="H9" s="65"/>
      <c r="I9" s="65"/>
      <c r="J9" s="74">
        <f aca="true" t="shared" si="0" ref="J9:J25">G9+H9-I9</f>
        <v>6997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6997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20824</v>
      </c>
      <c r="E10" s="189">
        <f>1861+167+9+532+6</f>
        <v>2575</v>
      </c>
      <c r="F10" s="189"/>
      <c r="G10" s="74">
        <f aca="true" t="shared" si="3" ref="G10:G39">D10+E10-F10</f>
        <v>23399</v>
      </c>
      <c r="H10" s="65"/>
      <c r="I10" s="65"/>
      <c r="J10" s="74">
        <f t="shared" si="0"/>
        <v>23399</v>
      </c>
      <c r="K10" s="65">
        <v>2184</v>
      </c>
      <c r="L10" s="65">
        <f>141+89+24+1</f>
        <v>255</v>
      </c>
      <c r="M10" s="65"/>
      <c r="N10" s="74">
        <f aca="true" t="shared" si="4" ref="N10:N39">K10+L10-M10</f>
        <v>2439</v>
      </c>
      <c r="O10" s="65"/>
      <c r="P10" s="65"/>
      <c r="Q10" s="74">
        <f t="shared" si="1"/>
        <v>2439</v>
      </c>
      <c r="R10" s="74">
        <f t="shared" si="2"/>
        <v>20960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60548</v>
      </c>
      <c r="E11" s="189">
        <f>1310+1491+51+191+162</f>
        <v>3205</v>
      </c>
      <c r="F11" s="189">
        <f>24+8+8054</f>
        <v>8086</v>
      </c>
      <c r="G11" s="74">
        <f t="shared" si="3"/>
        <v>55667</v>
      </c>
      <c r="H11" s="65"/>
      <c r="I11" s="65"/>
      <c r="J11" s="74">
        <f t="shared" si="0"/>
        <v>55667</v>
      </c>
      <c r="K11" s="65">
        <v>27241</v>
      </c>
      <c r="L11" s="65">
        <f>1378+716+426</f>
        <v>2520</v>
      </c>
      <c r="M11" s="65">
        <f>9+5</f>
        <v>14</v>
      </c>
      <c r="N11" s="74">
        <f t="shared" si="4"/>
        <v>29747</v>
      </c>
      <c r="O11" s="65"/>
      <c r="P11" s="65"/>
      <c r="Q11" s="74">
        <f t="shared" si="1"/>
        <v>29747</v>
      </c>
      <c r="R11" s="74">
        <f t="shared" si="2"/>
        <v>25920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2242</v>
      </c>
      <c r="E12" s="189">
        <f>8967+733+145+8054+2</f>
        <v>17901</v>
      </c>
      <c r="F12" s="189"/>
      <c r="G12" s="74">
        <f t="shared" si="3"/>
        <v>20143</v>
      </c>
      <c r="H12" s="65"/>
      <c r="I12" s="65"/>
      <c r="J12" s="74">
        <f t="shared" si="0"/>
        <v>20143</v>
      </c>
      <c r="K12" s="65">
        <v>473</v>
      </c>
      <c r="L12" s="65">
        <f>33+111+8</f>
        <v>152</v>
      </c>
      <c r="M12" s="65"/>
      <c r="N12" s="74">
        <f t="shared" si="4"/>
        <v>625</v>
      </c>
      <c r="O12" s="65"/>
      <c r="P12" s="65"/>
      <c r="Q12" s="74">
        <f t="shared" si="1"/>
        <v>625</v>
      </c>
      <c r="R12" s="74">
        <f t="shared" si="2"/>
        <v>19518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3974</v>
      </c>
      <c r="E13" s="189">
        <f>30+5+127+395+18</f>
        <v>575</v>
      </c>
      <c r="F13" s="189"/>
      <c r="G13" s="74">
        <f t="shared" si="3"/>
        <v>4549</v>
      </c>
      <c r="H13" s="65"/>
      <c r="I13" s="65"/>
      <c r="J13" s="74">
        <f t="shared" si="0"/>
        <v>4549</v>
      </c>
      <c r="K13" s="65">
        <v>1668</v>
      </c>
      <c r="L13" s="65">
        <f>191+88+8+6+12+1</f>
        <v>306</v>
      </c>
      <c r="M13" s="65"/>
      <c r="N13" s="74">
        <f t="shared" si="4"/>
        <v>1974</v>
      </c>
      <c r="O13" s="65"/>
      <c r="P13" s="65"/>
      <c r="Q13" s="74">
        <f t="shared" si="1"/>
        <v>1974</v>
      </c>
      <c r="R13" s="74">
        <f t="shared" si="2"/>
        <v>2575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3302</v>
      </c>
      <c r="E14" s="189">
        <f>27+27+4+5</f>
        <v>63</v>
      </c>
      <c r="F14" s="189">
        <f>6</f>
        <v>6</v>
      </c>
      <c r="G14" s="74">
        <f t="shared" si="3"/>
        <v>3359</v>
      </c>
      <c r="H14" s="65"/>
      <c r="I14" s="65"/>
      <c r="J14" s="74">
        <f t="shared" si="0"/>
        <v>3359</v>
      </c>
      <c r="K14" s="65">
        <v>1240</v>
      </c>
      <c r="L14" s="65">
        <f>206+101+4</f>
        <v>311</v>
      </c>
      <c r="M14" s="65">
        <f>2</f>
        <v>2</v>
      </c>
      <c r="N14" s="74">
        <f t="shared" si="4"/>
        <v>1549</v>
      </c>
      <c r="O14" s="65"/>
      <c r="P14" s="65"/>
      <c r="Q14" s="74">
        <f t="shared" si="1"/>
        <v>1549</v>
      </c>
      <c r="R14" s="74">
        <f t="shared" si="2"/>
        <v>1810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864</v>
      </c>
      <c r="B15" s="374" t="s">
        <v>865</v>
      </c>
      <c r="C15" s="456" t="s">
        <v>866</v>
      </c>
      <c r="D15" s="457">
        <v>23978</v>
      </c>
      <c r="E15" s="457">
        <f>4795+1970+8</f>
        <v>6773</v>
      </c>
      <c r="F15" s="457">
        <v>11728</v>
      </c>
      <c r="G15" s="74">
        <f t="shared" si="3"/>
        <v>19023</v>
      </c>
      <c r="H15" s="458"/>
      <c r="I15" s="458"/>
      <c r="J15" s="74">
        <f t="shared" si="0"/>
        <v>19023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1"/>
        <v>0</v>
      </c>
      <c r="R15" s="74">
        <f t="shared" si="2"/>
        <v>19023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3"/>
        <v>0</v>
      </c>
      <c r="H16" s="65"/>
      <c r="I16" s="65"/>
      <c r="J16" s="74">
        <f t="shared" si="0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121729</v>
      </c>
      <c r="E17" s="194">
        <f>SUM(E9:E16)</f>
        <v>31228</v>
      </c>
      <c r="F17" s="194">
        <f>SUM(F9:F16)</f>
        <v>19820</v>
      </c>
      <c r="G17" s="74">
        <f t="shared" si="3"/>
        <v>133137</v>
      </c>
      <c r="H17" s="75">
        <f>SUM(H9:H16)</f>
        <v>0</v>
      </c>
      <c r="I17" s="75">
        <f>SUM(I9:I16)</f>
        <v>0</v>
      </c>
      <c r="J17" s="74">
        <f t="shared" si="0"/>
        <v>133137</v>
      </c>
      <c r="K17" s="75">
        <f>SUM(K9:K16)</f>
        <v>32806</v>
      </c>
      <c r="L17" s="75">
        <f>SUM(L9:L16)</f>
        <v>3544</v>
      </c>
      <c r="M17" s="75">
        <f>SUM(M9:M16)</f>
        <v>16</v>
      </c>
      <c r="N17" s="74">
        <f t="shared" si="4"/>
        <v>36334</v>
      </c>
      <c r="O17" s="75">
        <f>SUM(O9:O16)</f>
        <v>0</v>
      </c>
      <c r="P17" s="75">
        <f>SUM(P9:P16)</f>
        <v>0</v>
      </c>
      <c r="Q17" s="74">
        <f t="shared" si="5"/>
        <v>36334</v>
      </c>
      <c r="R17" s="74">
        <f t="shared" si="6"/>
        <v>96803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958</v>
      </c>
      <c r="E21" s="189">
        <f>22+2</f>
        <v>24</v>
      </c>
      <c r="F21" s="189"/>
      <c r="G21" s="74">
        <f t="shared" si="3"/>
        <v>982</v>
      </c>
      <c r="H21" s="65"/>
      <c r="I21" s="65"/>
      <c r="J21" s="74">
        <f t="shared" si="0"/>
        <v>982</v>
      </c>
      <c r="K21" s="65">
        <v>934</v>
      </c>
      <c r="L21" s="65">
        <f>2+2</f>
        <v>4</v>
      </c>
      <c r="M21" s="65"/>
      <c r="N21" s="74">
        <f t="shared" si="4"/>
        <v>938</v>
      </c>
      <c r="O21" s="65"/>
      <c r="P21" s="65"/>
      <c r="Q21" s="74">
        <f t="shared" si="5"/>
        <v>938</v>
      </c>
      <c r="R21" s="74">
        <f t="shared" si="6"/>
        <v>44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153</v>
      </c>
      <c r="E22" s="189"/>
      <c r="F22" s="189"/>
      <c r="G22" s="74">
        <f t="shared" si="3"/>
        <v>153</v>
      </c>
      <c r="H22" s="65"/>
      <c r="I22" s="65"/>
      <c r="J22" s="74">
        <f t="shared" si="0"/>
        <v>153</v>
      </c>
      <c r="K22" s="65">
        <v>142</v>
      </c>
      <c r="L22" s="65">
        <v>2</v>
      </c>
      <c r="M22" s="65"/>
      <c r="N22" s="74">
        <f t="shared" si="4"/>
        <v>144</v>
      </c>
      <c r="O22" s="65"/>
      <c r="P22" s="65"/>
      <c r="Q22" s="74">
        <f t="shared" si="5"/>
        <v>144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15</v>
      </c>
      <c r="E24" s="189"/>
      <c r="F24" s="189"/>
      <c r="G24" s="74">
        <f t="shared" si="3"/>
        <v>15</v>
      </c>
      <c r="H24" s="65"/>
      <c r="I24" s="65"/>
      <c r="J24" s="74">
        <f t="shared" si="0"/>
        <v>15</v>
      </c>
      <c r="K24" s="65">
        <v>9</v>
      </c>
      <c r="L24" s="65">
        <v>2</v>
      </c>
      <c r="M24" s="65"/>
      <c r="N24" s="74">
        <f t="shared" si="4"/>
        <v>11</v>
      </c>
      <c r="O24" s="65"/>
      <c r="P24" s="65"/>
      <c r="Q24" s="74">
        <f t="shared" si="5"/>
        <v>11</v>
      </c>
      <c r="R24" s="74">
        <f t="shared" si="6"/>
        <v>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584</v>
      </c>
      <c r="D25" s="190">
        <f>SUM(D21:D24)</f>
        <v>1126</v>
      </c>
      <c r="E25" s="190">
        <f aca="true" t="shared" si="7" ref="E25:P25">SUM(E21:E24)</f>
        <v>24</v>
      </c>
      <c r="F25" s="190">
        <f t="shared" si="7"/>
        <v>0</v>
      </c>
      <c r="G25" s="67">
        <f t="shared" si="3"/>
        <v>1150</v>
      </c>
      <c r="H25" s="66">
        <f t="shared" si="7"/>
        <v>0</v>
      </c>
      <c r="I25" s="66">
        <f t="shared" si="7"/>
        <v>0</v>
      </c>
      <c r="J25" s="67">
        <f t="shared" si="0"/>
        <v>1150</v>
      </c>
      <c r="K25" s="66">
        <f t="shared" si="7"/>
        <v>1085</v>
      </c>
      <c r="L25" s="66">
        <f t="shared" si="7"/>
        <v>8</v>
      </c>
      <c r="M25" s="66">
        <f t="shared" si="7"/>
        <v>0</v>
      </c>
      <c r="N25" s="67">
        <f t="shared" si="4"/>
        <v>1093</v>
      </c>
      <c r="O25" s="66">
        <f t="shared" si="7"/>
        <v>0</v>
      </c>
      <c r="P25" s="66">
        <f t="shared" si="7"/>
        <v>0</v>
      </c>
      <c r="Q25" s="67">
        <f t="shared" si="5"/>
        <v>1093</v>
      </c>
      <c r="R25" s="67">
        <f t="shared" si="6"/>
        <v>57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857</v>
      </c>
      <c r="C27" s="380" t="s">
        <v>587</v>
      </c>
      <c r="D27" s="192">
        <f>SUM(D28:D31)</f>
        <v>8</v>
      </c>
      <c r="E27" s="192">
        <f aca="true" t="shared" si="8" ref="E27:P27">SUM(E28:E31)</f>
        <v>0</v>
      </c>
      <c r="F27" s="192">
        <f t="shared" si="8"/>
        <v>0</v>
      </c>
      <c r="G27" s="71">
        <f t="shared" si="3"/>
        <v>8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3"/>
        <v>0</v>
      </c>
      <c r="H28" s="65"/>
      <c r="I28" s="65"/>
      <c r="J28" s="74">
        <f t="shared" si="9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3"/>
        <v>0</v>
      </c>
      <c r="H30" s="72"/>
      <c r="I30" s="72"/>
      <c r="J30" s="74">
        <f t="shared" si="9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8</v>
      </c>
      <c r="E31" s="189"/>
      <c r="F31" s="189"/>
      <c r="G31" s="74">
        <f t="shared" si="3"/>
        <v>8</v>
      </c>
      <c r="H31" s="72"/>
      <c r="I31" s="72"/>
      <c r="J31" s="74">
        <f t="shared" si="9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603</v>
      </c>
      <c r="D38" s="194">
        <f>D27+D32+D37</f>
        <v>8</v>
      </c>
      <c r="E38" s="194">
        <f aca="true" t="shared" si="13" ref="E38:P38">E27+E32+E37</f>
        <v>0</v>
      </c>
      <c r="F38" s="194">
        <f t="shared" si="13"/>
        <v>0</v>
      </c>
      <c r="G38" s="74">
        <f t="shared" si="3"/>
        <v>8</v>
      </c>
      <c r="H38" s="75">
        <f t="shared" si="13"/>
        <v>0</v>
      </c>
      <c r="I38" s="75">
        <f t="shared" si="13"/>
        <v>0</v>
      </c>
      <c r="J38" s="74">
        <f t="shared" si="9"/>
        <v>8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>
        <v>519</v>
      </c>
      <c r="E39" s="570">
        <v>156</v>
      </c>
      <c r="F39" s="570"/>
      <c r="G39" s="74">
        <f t="shared" si="3"/>
        <v>675</v>
      </c>
      <c r="H39" s="570"/>
      <c r="I39" s="570"/>
      <c r="J39" s="74">
        <f t="shared" si="9"/>
        <v>675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10"/>
        <v>0</v>
      </c>
      <c r="R39" s="74">
        <f t="shared" si="11"/>
        <v>675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123382</v>
      </c>
      <c r="E40" s="438">
        <f>E17+E18+E19+E25+E38+E39</f>
        <v>31408</v>
      </c>
      <c r="F40" s="438">
        <f aca="true" t="shared" si="14" ref="F40:R40">F17+F18+F19+F25+F38+F39</f>
        <v>19820</v>
      </c>
      <c r="G40" s="438">
        <f t="shared" si="14"/>
        <v>134970</v>
      </c>
      <c r="H40" s="438">
        <f t="shared" si="14"/>
        <v>0</v>
      </c>
      <c r="I40" s="438">
        <f t="shared" si="14"/>
        <v>0</v>
      </c>
      <c r="J40" s="438">
        <f t="shared" si="14"/>
        <v>134970</v>
      </c>
      <c r="K40" s="438">
        <f t="shared" si="14"/>
        <v>33891</v>
      </c>
      <c r="L40" s="438">
        <f t="shared" si="14"/>
        <v>3552</v>
      </c>
      <c r="M40" s="438">
        <f t="shared" si="14"/>
        <v>16</v>
      </c>
      <c r="N40" s="438">
        <f t="shared" si="14"/>
        <v>37427</v>
      </c>
      <c r="O40" s="438">
        <f t="shared" si="14"/>
        <v>0</v>
      </c>
      <c r="P40" s="438">
        <f t="shared" si="14"/>
        <v>0</v>
      </c>
      <c r="Q40" s="438">
        <f t="shared" si="14"/>
        <v>37427</v>
      </c>
      <c r="R40" s="438">
        <f t="shared" si="14"/>
        <v>97543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 t="s">
        <v>873</v>
      </c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9"/>
      <c r="L44" s="609"/>
      <c r="M44" s="609"/>
      <c r="N44" s="609"/>
      <c r="O44" s="610" t="s">
        <v>785</v>
      </c>
      <c r="P44" s="611"/>
      <c r="Q44" s="611"/>
      <c r="R44" s="611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15" zoomScaleNormal="115" workbookViewId="0" topLeftCell="A88">
      <selection activeCell="D88" sqref="D8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612</v>
      </c>
      <c r="B1" s="617"/>
      <c r="C1" s="617"/>
      <c r="D1" s="617"/>
      <c r="E1" s="617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385</v>
      </c>
      <c r="B3" s="620" t="str">
        <f>'справка №1-БАЛАНС'!E3</f>
        <v>"МОНБАТ" АД</v>
      </c>
      <c r="C3" s="621"/>
      <c r="D3" s="524" t="s">
        <v>2</v>
      </c>
      <c r="E3" s="107">
        <f>'справка №1-БАЛАНС'!H3</f>
        <v>111028849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8" t="str">
        <f>'справка №1-БАЛАНС'!E5</f>
        <v>09.2009 г.</v>
      </c>
      <c r="C4" s="619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613</v>
      </c>
      <c r="B5" s="495"/>
      <c r="C5" s="496"/>
      <c r="D5" s="107"/>
      <c r="E5" s="497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2991</v>
      </c>
      <c r="D24" s="119">
        <f>SUM(D25:D27)</f>
        <v>2991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316</v>
      </c>
      <c r="D25" s="108">
        <v>316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f>2220+415</f>
        <v>2635</v>
      </c>
      <c r="D26" s="108">
        <f>2220+415</f>
        <v>2635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f>40</f>
        <v>40</v>
      </c>
      <c r="D27" s="108">
        <f>40</f>
        <v>40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20364</v>
      </c>
      <c r="D28" s="108">
        <v>20364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637</v>
      </c>
      <c r="D29" s="108">
        <v>637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2160</v>
      </c>
      <c r="D30" s="108">
        <v>2160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5</v>
      </c>
      <c r="D31" s="108">
        <v>5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3523</v>
      </c>
      <c r="D33" s="105">
        <f>SUM(D34:D37)</f>
        <v>3523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f>737+77</f>
        <v>814</v>
      </c>
      <c r="D34" s="108">
        <f>737+77</f>
        <v>814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f>1571+114+30+58+757</f>
        <v>2530</v>
      </c>
      <c r="D35" s="108">
        <f>1571+114+30+58+757</f>
        <v>2530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f>177+2</f>
        <v>179</v>
      </c>
      <c r="D37" s="108">
        <f>177+2</f>
        <v>179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1081</v>
      </c>
      <c r="D38" s="105">
        <f>SUM(D39:D42)</f>
        <v>1081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f>1</f>
        <v>1</v>
      </c>
      <c r="D40" s="108">
        <f>1</f>
        <v>1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f>654+11+415</f>
        <v>1080</v>
      </c>
      <c r="D42" s="108">
        <f>654+11+415</f>
        <v>1080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30761</v>
      </c>
      <c r="D43" s="104">
        <f>D24+D28+D29+D31+D30+D32+D33+D38</f>
        <v>30761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30761</v>
      </c>
      <c r="D44" s="103">
        <f>D43+D21+D19+D9</f>
        <v>30761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7</v>
      </c>
      <c r="D52" s="103">
        <f>SUM(D53:D55)</f>
        <v>0</v>
      </c>
      <c r="E52" s="119">
        <f>C52-D52</f>
        <v>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>
        <v>7</v>
      </c>
      <c r="D55" s="108"/>
      <c r="E55" s="119">
        <f t="shared" si="1"/>
        <v>7</v>
      </c>
      <c r="F55" s="108"/>
    </row>
    <row r="56" spans="1:16" ht="24">
      <c r="A56" s="396" t="s">
        <v>697</v>
      </c>
      <c r="B56" s="397" t="s">
        <v>698</v>
      </c>
      <c r="C56" s="103">
        <f>C57+C59</f>
        <v>34787</v>
      </c>
      <c r="D56" s="103">
        <f>D57+D59</f>
        <v>0</v>
      </c>
      <c r="E56" s="119">
        <f t="shared" si="1"/>
        <v>34787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34787</v>
      </c>
      <c r="D57" s="108">
        <v>0</v>
      </c>
      <c r="E57" s="119">
        <f t="shared" si="1"/>
        <v>34787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>
        <v>2158</v>
      </c>
      <c r="D62" s="108"/>
      <c r="E62" s="119">
        <f t="shared" si="1"/>
        <v>2158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>
        <v>229</v>
      </c>
      <c r="D64" s="108"/>
      <c r="E64" s="119">
        <f t="shared" si="1"/>
        <v>229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37181</v>
      </c>
      <c r="D66" s="103">
        <f>D52+D56+D61+D62+D63+D64</f>
        <v>0</v>
      </c>
      <c r="E66" s="119">
        <f t="shared" si="1"/>
        <v>37181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2160</v>
      </c>
      <c r="D68" s="108"/>
      <c r="E68" s="119">
        <f t="shared" si="1"/>
        <v>2160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193</v>
      </c>
      <c r="D71" s="105">
        <f>SUM(D72:D74)</f>
        <v>193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33</v>
      </c>
      <c r="D72" s="108">
        <v>33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>
        <f>160</f>
        <v>160</v>
      </c>
      <c r="D73" s="108">
        <f>160</f>
        <v>160</v>
      </c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6194</v>
      </c>
      <c r="D75" s="103">
        <f>D76+D78</f>
        <v>6194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6194</v>
      </c>
      <c r="D76" s="108">
        <v>6194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15955</v>
      </c>
      <c r="D85" s="104">
        <f>SUM(D86:D90)+D94</f>
        <v>15955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29</v>
      </c>
      <c r="D86" s="108">
        <v>29</v>
      </c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14657</v>
      </c>
      <c r="D87" s="108">
        <v>14657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>
        <v>42</v>
      </c>
      <c r="D88" s="108">
        <v>42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715</v>
      </c>
      <c r="D89" s="108">
        <v>715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130</v>
      </c>
      <c r="D90" s="103">
        <f>SUM(D91:D93)</f>
        <v>130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f>35</f>
        <v>35</v>
      </c>
      <c r="D92" s="108">
        <f>35</f>
        <v>35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f>86+5+4</f>
        <v>95</v>
      </c>
      <c r="D93" s="108">
        <f>86+5+4</f>
        <v>95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382</v>
      </c>
      <c r="D94" s="108">
        <v>382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854</v>
      </c>
      <c r="D95" s="108">
        <v>854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23196</v>
      </c>
      <c r="D96" s="104">
        <f>D85+D80+D75+D71+D95</f>
        <v>23196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62537</v>
      </c>
      <c r="D97" s="104">
        <f>D96+D68+D66</f>
        <v>23196</v>
      </c>
      <c r="E97" s="104">
        <f>E96+E68+E66</f>
        <v>39341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88</v>
      </c>
      <c r="D104" s="108"/>
      <c r="E104" s="108">
        <v>71</v>
      </c>
      <c r="F104" s="125">
        <f>C104+D104-E104</f>
        <v>17</v>
      </c>
    </row>
    <row r="105" spans="1:16" ht="12">
      <c r="A105" s="412" t="s">
        <v>780</v>
      </c>
      <c r="B105" s="395" t="s">
        <v>781</v>
      </c>
      <c r="C105" s="103">
        <f>SUM(C102:C104)</f>
        <v>88</v>
      </c>
      <c r="D105" s="103">
        <f>SUM(D102:D104)</f>
        <v>0</v>
      </c>
      <c r="E105" s="103">
        <f>SUM(E102:E104)</f>
        <v>71</v>
      </c>
      <c r="F105" s="103">
        <f>SUM(F102:F104)</f>
        <v>17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783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784</v>
      </c>
      <c r="B109" s="615"/>
      <c r="C109" s="615" t="s">
        <v>383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785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21" sqref="F21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385</v>
      </c>
      <c r="B4" s="622" t="str">
        <f>'справка №1-БАЛАНС'!E3</f>
        <v>"МОНБАТ"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111028849</v>
      </c>
    </row>
    <row r="5" spans="1:9" ht="15">
      <c r="A5" s="500" t="s">
        <v>5</v>
      </c>
      <c r="B5" s="623" t="str">
        <f>'справка №1-БАЛАНС'!E5</f>
        <v>09.2009 г.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788</v>
      </c>
    </row>
    <row r="7" spans="1:9" s="518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809</v>
      </c>
      <c r="B20" s="90" t="s">
        <v>810</v>
      </c>
      <c r="C20" s="98">
        <v>1025089</v>
      </c>
      <c r="D20" s="98"/>
      <c r="E20" s="98"/>
      <c r="F20" s="98">
        <v>1025</v>
      </c>
      <c r="G20" s="98"/>
      <c r="H20" s="98"/>
      <c r="I20" s="434">
        <f t="shared" si="0"/>
        <v>1025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821</v>
      </c>
      <c r="C26" s="85">
        <f aca="true" t="shared" si="2" ref="C26:H26">SUM(C19:C25)</f>
        <v>1025089</v>
      </c>
      <c r="D26" s="85">
        <f t="shared" si="2"/>
        <v>0</v>
      </c>
      <c r="E26" s="85">
        <f t="shared" si="2"/>
        <v>0</v>
      </c>
      <c r="F26" s="85">
        <f t="shared" si="2"/>
        <v>1025</v>
      </c>
      <c r="G26" s="85">
        <f t="shared" si="2"/>
        <v>0</v>
      </c>
      <c r="H26" s="85">
        <f t="shared" si="2"/>
        <v>0</v>
      </c>
      <c r="I26" s="434">
        <f t="shared" si="0"/>
        <v>1025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784</v>
      </c>
      <c r="B30" s="625"/>
      <c r="C30" s="625"/>
      <c r="D30" s="459" t="s">
        <v>823</v>
      </c>
      <c r="E30" s="624"/>
      <c r="F30" s="624"/>
      <c r="G30" s="624"/>
      <c r="H30" s="420" t="s">
        <v>785</v>
      </c>
      <c r="I30" s="624"/>
      <c r="J30" s="624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19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C135" sqref="C135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9" t="str">
        <f>'справка №1-БАЛАНС'!E3</f>
        <v>"МОНБАТ" АД</v>
      </c>
      <c r="C5" s="629"/>
      <c r="D5" s="629"/>
      <c r="E5" s="568" t="s">
        <v>2</v>
      </c>
      <c r="F5" s="451">
        <f>'справка №1-БАЛАНС'!H3</f>
        <v>111028849</v>
      </c>
    </row>
    <row r="6" spans="1:13" ht="15" customHeight="1">
      <c r="A6" s="27" t="s">
        <v>826</v>
      </c>
      <c r="B6" s="630" t="str">
        <f>'справка №1-БАЛАНС'!E5</f>
        <v>09.2009 г.</v>
      </c>
      <c r="C6" s="630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5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>
        <v>8</v>
      </c>
      <c r="D63" s="441">
        <v>17</v>
      </c>
      <c r="E63" s="441"/>
      <c r="F63" s="443">
        <f>C63-E63</f>
        <v>8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8</v>
      </c>
      <c r="D78" s="429"/>
      <c r="E78" s="429">
        <f>SUM(E63:E77)</f>
        <v>0</v>
      </c>
      <c r="F78" s="442">
        <f>SUM(F63:F77)</f>
        <v>8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843</v>
      </c>
      <c r="B79" s="39" t="s">
        <v>844</v>
      </c>
      <c r="C79" s="429">
        <f>C78+C61+C44+C27</f>
        <v>8</v>
      </c>
      <c r="D79" s="429"/>
      <c r="E79" s="429">
        <f>E78+E61+E44+E27</f>
        <v>0</v>
      </c>
      <c r="F79" s="442">
        <f>F78+F61+F44+F27</f>
        <v>8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/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1" t="s">
        <v>853</v>
      </c>
      <c r="D151" s="631"/>
      <c r="E151" s="631"/>
      <c r="F151" s="631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1" t="s">
        <v>861</v>
      </c>
      <c r="D153" s="631"/>
      <c r="E153" s="631"/>
      <c r="F153" s="631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</cp:lastModifiedBy>
  <cp:lastPrinted>2009-11-27T12:41:14Z</cp:lastPrinted>
  <dcterms:created xsi:type="dcterms:W3CDTF">2000-06-29T12:02:40Z</dcterms:created>
  <dcterms:modified xsi:type="dcterms:W3CDTF">2009-11-30T14:19:16Z</dcterms:modified>
  <cp:category/>
  <cp:version/>
  <cp:contentType/>
  <cp:contentStatus/>
</cp:coreProperties>
</file>