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0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<sst xmlns="http://schemas.openxmlformats.org/spreadsheetml/2006/main" count="4322" uniqueCount="1004">
  <si>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</si>
  <si>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</si>
  <si>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</si>
  <si>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</si>
  <si>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</si>
  <si>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</si>
  <si>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</si>
  <si>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</si>
  <si>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</si>
  <si>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</si>
  <si>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</si>
  <si>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</si>
  <si>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</si>
  <si>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</si>
  <si>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</si>
  <si>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</si>
  <si>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</si>
  <si>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</si>
  <si>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</si>
  <si>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</si>
  <si>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</si>
  <si>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</si>
  <si>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</si>
  <si>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</si>
  <si>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</si>
  <si>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</si>
  <si>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</si>
  <si>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</si>
  <si>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</si>
  <si>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</si>
  <si>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</si>
  <si>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</si>
  <si>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</si>
  <si>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</si>
  <si>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</si>
  <si>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</si>
  <si>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</si>
  <si>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</si>
  <si>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</si>
  <si>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</si>
  <si>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</si>
  <si>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</si>
  <si>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</si>
  <si>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</si>
  <si>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</si>
  <si>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</si>
  <si>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</si>
  <si>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</si>
  <si>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</si>
  <si>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</si>
  <si>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</si>
  <si>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</si>
  <si>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</si>
  <si>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</si>
  <si>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</si>
  <si>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</si>
  <si>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</si>
  <si>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</si>
  <si>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</si>
  <si>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</si>
  <si>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</si>
  <si>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</si>
  <si>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</si>
  <si>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</si>
  <si>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</si>
  <si>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</si>
  <si>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</si>
  <si>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</si>
  <si>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</si>
  <si>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</si>
  <si>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</si>
  <si>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</si>
  <si>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</si>
  <si>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</si>
  <si>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</si>
  <si>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</si>
  <si>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</si>
  <si>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</si>
  <si>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</si>
  <si>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</si>
  <si>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</si>
  <si>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</si>
  <si>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</si>
  <si>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</si>
  <si>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</si>
  <si>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</si>
  <si>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</si>
  <si>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</si>
  <si>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</si>
  <si>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</si>
  <si>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</si>
  <si>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</si>
  <si>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</si>
  <si>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</si>
  <si>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</si>
  <si>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</si>
  <si>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</si>
  <si>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</si>
  <si>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</si>
  <si>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</si>
  <si>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</si>
  <si>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</si>
  <si>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</si>
  <si>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</si>
  <si>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</si>
  <si>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</si>
  <si>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</si>
  <si>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</si>
  <si>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</si>
  <si>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</si>
  <si>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</si>
  <si>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</si>
  <si>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</si>
  <si>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</si>
  <si>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</si>
  <si>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</si>
  <si>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</si>
  <si>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</si>
  <si>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</si>
  <si>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</si>
  <si>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</si>
  <si>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</si>
  <si>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</si>
  <si>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</si>
  <si>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</si>
  <si>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</si>
  <si>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</si>
  <si>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</si>
  <si>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</si>
  <si>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</si>
  <si>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</si>
  <si>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</si>
  <si>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</si>
  <si>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</si>
  <si>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</si>
  <si>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</si>
  <si>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</si>
  <si>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</si>
  <si>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</si>
  <si>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</si>
  <si>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</si>
  <si>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</si>
  <si>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</si>
  <si>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</si>
  <si>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</si>
  <si>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</si>
  <si>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</si>
  <si>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</si>
  <si>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</si>
  <si>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</si>
  <si>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</si>
  <si>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</si>
  <si>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</si>
  <si>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</si>
  <si>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</si>
  <si>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</si>
  <si>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</si>
  <si>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</si>
  <si>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</si>
  <si>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</si>
  <si>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</si>
  <si>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</si>
  <si>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</si>
  <si>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</si>
  <si>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</si>
  <si>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</si>
  <si>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</si>
  <si>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</si>
  <si>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</si>
  <si>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</si>
  <si>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</si>
  <si>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</si>
  <si>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</si>
  <si>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</si>
  <si>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</si>
  <si>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</si>
  <si>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</si>
  <si>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</si>
  <si>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</si>
  <si>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</si>
  <si>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</si>
  <si>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</si>
  <si>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</si>
  <si>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</si>
  <si>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</si>
  <si>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</si>
  <si>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</si>
  <si>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</si>
  <si>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</si>
  <si>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</si>
  <si>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</si>
  <si>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</si>
  <si>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</si>
  <si>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</si>
  <si>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</si>
  <si>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</si>
  <si>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</si>
  <si>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</si>
  <si>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</si>
  <si>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</si>
  <si>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</si>
  <si>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</si>
  <si>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</si>
  <si>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</si>
  <si>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</si>
  <si>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</si>
  <si>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</si>
  <si>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</si>
  <si>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</si>
  <si>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</si>
  <si>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</si>
  <si>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</si>
  <si>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</si>
  <si>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</si>
  <si>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</si>
  <si>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</si>
  <si>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</si>
  <si>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</si>
  <si>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</si>
  <si>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</si>
  <si>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</si>
  <si>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</si>
  <si>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</si>
  <si>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</si>
  <si>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</si>
  <si>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</si>
  <si>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</si>
  <si>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</si>
  <si>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</si>
  <si>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</si>
  <si>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</si>
  <si>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</si>
  <si>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</si>
  <si>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</si>
  <si>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</si>
  <si>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</si>
  <si>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</si>
  <si>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</si>
  <si>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</si>
  <si>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</si>
  <si>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</si>
  <si>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</si>
  <si>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</si>
  <si>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</si>
  <si>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</si>
  <si>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</si>
  <si>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</si>
  <si>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</si>
  <si>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</si>
  <si>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</si>
  <si>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</si>
  <si>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</si>
  <si>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</si>
  <si>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</si>
  <si>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</si>
  <si>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</si>
  <si>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</si>
  <si>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</si>
  <si>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</si>
  <si>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</si>
  <si>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</si>
  <si>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</si>
  <si>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</si>
  <si>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</si>
  <si>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</si>
  <si>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</si>
  <si>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</si>
  <si>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</si>
  <si>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</si>
  <si>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</si>
  <si>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</si>
  <si>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</si>
  <si>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</si>
  <si>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</si>
  <si>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</si>
  <si>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</si>
  <si>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</si>
  <si>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</si>
  <si>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</si>
  <si>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</si>
  <si>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</si>
  <si>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</si>
  <si>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</si>
  <si>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</si>
  <si>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</si>
  <si>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</si>
  <si>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</si>
  <si>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</si>
  <si>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</si>
  <si>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</si>
  <si>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</si>
  <si>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</si>
  <si>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</si>
  <si>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</si>
  <si>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</si>
  <si>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</si>
  <si>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</si>
  <si>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</si>
  <si>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</si>
  <si>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</si>
  <si>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</si>
  <si>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</si>
  <si>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</si>
  <si>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</si>
  <si>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</si>
  <si>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</si>
  <si>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</si>
  <si>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</si>
  <si>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</si>
  <si>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</si>
  <si>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</si>
  <si>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</si>
  <si>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</si>
  <si>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</si>
  <si>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</si>
  <si>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</si>
  <si>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</si>
  <si>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</si>
  <si>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</si>
  <si>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</si>
  <si>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</si>
  <si>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</si>
  <si>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</si>
  <si>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</si>
  <si>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</si>
  <si>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</si>
  <si>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</si>
  <si>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</si>
  <si>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</si>
  <si>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</si>
  <si>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</si>
  <si>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</si>
  <si>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</si>
  <si>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</si>
  <si>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</si>
  <si>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</si>
  <si>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</si>
  <si>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</si>
  <si>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</si>
  <si>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</si>
  <si>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</si>
  <si>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</si>
  <si>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</si>
  <si>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</si>
  <si>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</si>
  <si>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</si>
  <si>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</si>
  <si>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</si>
  <si>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</si>
  <si>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</si>
  <si>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</si>
  <si>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</si>
  <si>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</si>
  <si>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</si>
  <si>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</si>
  <si>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</si>
  <si>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</si>
  <si>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</si>
  <si>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</si>
  <si>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</si>
  <si>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</si>
  <si>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</si>
  <si>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</si>
  <si>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</si>
  <si>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</si>
  <si>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</si>
  <si>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</si>
  <si>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</si>
  <si>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</si>
  <si>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</si>
  <si>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</si>
  <si>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</si>
  <si>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</si>
  <si>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</si>
  <si>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</si>
  <si>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</si>
  <si>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</si>
  <si>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</si>
  <si>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</si>
  <si>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</si>
  <si>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</si>
  <si>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</si>
  <si>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</si>
  <si>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</si>
  <si>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</si>
  <si>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</si>
  <si>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</si>
  <si>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</si>
  <si>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</si>
  <si>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</si>
  <si>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</si>
  <si>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</si>
  <si>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</si>
  <si>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</si>
  <si>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</si>
  <si>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</si>
  <si>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</si>
  <si>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</si>
  <si>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</si>
  <si>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</si>
  <si>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</si>
  <si>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</si>
  <si>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</si>
  <si>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</si>
  <si>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</si>
  <si>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</si>
  <si>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</si>
  <si>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</si>
  <si>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</si>
  <si>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</si>
  <si>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</si>
  <si>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</si>
  <si>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</si>
  <si>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</si>
  <si>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</si>
  <si>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</si>
  <si>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</si>
  <si>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</si>
  <si>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</si>
  <si>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</si>
  <si>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</si>
  <si>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</si>
  <si>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</si>
  <si>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</si>
  <si>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</si>
  <si>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</si>
  <si>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</si>
  <si>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</si>
  <si>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</si>
  <si>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</si>
  <si>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</si>
  <si>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</si>
  <si>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</si>
  <si>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</si>
  <si>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</si>
  <si>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</si>
  <si>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</si>
  <si>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</si>
  <si>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</si>
  <si>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</si>
  <si>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</si>
  <si>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</si>
  <si>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</si>
  <si>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</si>
  <si>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</si>
  <si>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</si>
  <si>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</si>
  <si>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</si>
  <si>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</si>
  <si>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</si>
  <si>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</si>
  <si>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</si>
  <si>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</si>
  <si>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</si>
  <si>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</si>
  <si>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</si>
  <si>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</si>
  <si>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</si>
  <si>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</si>
  <si>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</si>
  <si>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</si>
  <si>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</si>
  <si>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</si>
  <si>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</si>
  <si>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</si>
  <si>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</si>
  <si>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</si>
  <si>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</si>
  <si>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</si>
  <si>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</si>
  <si>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</si>
  <si>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</si>
  <si>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</si>
  <si>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</si>
  <si>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</si>
  <si>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</si>
  <si>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</si>
  <si>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</si>
  <si>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</si>
  <si>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</si>
  <si>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</si>
  <si>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</si>
  <si>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</si>
  <si>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</si>
  <si>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</si>
  <si>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</si>
  <si>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</si>
  <si>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</si>
  <si>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</si>
  <si>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</si>
  <si>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</si>
  <si>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</si>
  <si>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</si>
  <si>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</si>
  <si>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</si>
  <si>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</si>
  <si>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</si>
  <si>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</si>
  <si>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</si>
  <si>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</si>
  <si>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</si>
  <si>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</si>
  <si>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</si>
  <si>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</si>
  <si>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</si>
  <si>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</si>
  <si>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</si>
  <si>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</si>
  <si>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</si>
  <si>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</si>
  <si>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</si>
  <si>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</si>
  <si>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</si>
  <si>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</si>
  <si>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</si>
  <si>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</si>
  <si>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</si>
  <si>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</si>
  <si>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</si>
  <si>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</si>
  <si>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</si>
  <si>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</si>
  <si>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</si>
  <si>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</si>
  <si>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</si>
  <si>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</si>
  <si>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</si>
  <si>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</si>
  <si>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</si>
  <si>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</si>
  <si>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</si>
  <si>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</si>
  <si>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</si>
  <si>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</si>
  <si>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</si>
  <si>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</si>
  <si>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</si>
  <si>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</si>
  <si>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</si>
  <si>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</si>
  <si>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</si>
  <si>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</si>
  <si>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</si>
  <si>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</si>
  <si>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</si>
  <si>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</si>
  <si>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</si>
  <si>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</si>
  <si>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</si>
  <si>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</si>
  <si>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</si>
  <si>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</si>
  <si>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</si>
  <si>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</si>
  <si>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</si>
  <si>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</si>
  <si>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</si>
  <si>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</si>
  <si>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</si>
  <si>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</si>
  <si>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</si>
  <si>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</si>
  <si>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</si>
  <si>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</si>
  <si>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</si>
  <si>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</si>
  <si>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</si>
  <si>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</si>
  <si>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</si>
  <si>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</si>
  <si>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</si>
  <si>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</si>
  <si>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</si>
  <si>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</si>
  <si>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</si>
  <si>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</si>
  <si>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</si>
  <si>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</si>
  <si>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</si>
  <si>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</si>
  <si>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</si>
  <si>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</si>
  <si>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</si>
  <si>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</si>
  <si>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</si>
  <si>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</si>
  <si>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</si>
  <si>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</si>
  <si>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</si>
  <si>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</si>
  <si>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</si>
  <si>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</si>
  <si>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</si>
  <si>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</si>
  <si>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</si>
  <si>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</si>
  <si>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</si>
  <si>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</si>
  <si>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</si>
  <si>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</si>
  <si>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</si>
  <si>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</si>
  <si>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</si>
  <si>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</si>
  <si>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</si>
  <si>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</si>
  <si>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</si>
  <si>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</si>
  <si>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</si>
  <si>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</si>
  <si>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</si>
  <si>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</si>
  <si>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</si>
  <si>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</si>
  <si>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</si>
  <si>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</si>
  <si>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</si>
  <si>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</si>
  <si>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</si>
  <si>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</si>
  <si>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</si>
  <si>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</si>
  <si>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</si>
  <si>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</si>
  <si>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</si>
  <si>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</si>
  <si>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</si>
  <si>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</si>
  <si>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</si>
  <si>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</si>
  <si>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</si>
  <si>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</si>
  <si>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</si>
  <si>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</si>
  <si>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</si>
  <si>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</si>
  <si>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</si>
  <si>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</si>
  <si>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</si>
  <si>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</si>
  <si>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</si>
  <si>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</si>
  <si>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</si>
  <si>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</si>
  <si>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</si>
  <si>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</si>
  <si>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</si>
  <si>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</si>
  <si>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</si>
  <si>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</si>
  <si>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</si>
  <si>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</si>
  <si>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</si>
  <si>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</si>
  <si>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</si>
  <si>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</si>
  <si>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</si>
  <si>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</si>
  <si>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</si>
  <si>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</si>
  <si>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</si>
  <si>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</si>
  <si>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</si>
  <si>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</si>
  <si>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</si>
  <si>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</si>
  <si>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</si>
  <si>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</si>
  <si>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</si>
  <si>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</si>
  <si>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</si>
  <si>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</si>
  <si>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</si>
  <si>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</si>
  <si>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</si>
  <si>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</si>
  <si>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</si>
  <si>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</si>
  <si>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</si>
  <si>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</si>
  <si>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</si>
  <si>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</si>
  <si>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</si>
  <si>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</si>
  <si>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</si>
  <si>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</si>
  <si>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</si>
  <si>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</si>
  <si>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</si>
  <si>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</si>
  <si>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</si>
  <si>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</si>
  <si>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</si>
  <si>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</si>
  <si>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</si>
  <si>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</si>
  <si>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</si>
  <si>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</si>
  <si>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</si>
  <si>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</si>
  <si>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</si>
  <si>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</si>
  <si>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</si>
  <si>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</si>
  <si>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</si>
  <si>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</si>
  <si>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</si>
  <si>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</si>
  <si>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</si>
  <si>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</si>
  <si>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</si>
  <si>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</si>
  <si>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</si>
  <si>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</si>
  <si>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</si>
  <si>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</si>
  <si>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</si>
  <si>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</si>
  <si>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</si>
  <si>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</si>
  <si>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</si>
  <si>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</si>
  <si>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</si>
  <si>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</si>
  <si>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</si>
  <si>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</si>
  <si>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</si>
  <si>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</si>
  <si>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</si>
  <si>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</si>
  <si>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</si>
  <si>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</si>
  <si>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</si>
  <si>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</si>
  <si>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</si>
  <si>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</si>
  <si>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</si>
  <si>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</si>
  <si>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</si>
  <si>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</si>
  <si>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</si>
  <si>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</si>
  <si>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</si>
  <si>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</si>
  <si>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</si>
  <si>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</si>
  <si>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</si>
  <si>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</si>
  <si>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</si>
  <si>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</si>
  <si>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</si>
  <si>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</si>
  <si>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</si>
  <si>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</si>
  <si>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</si>
  <si>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</si>
  <si>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</si>
  <si>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</si>
  <si>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</si>
  <si>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</si>
  <si>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</si>
  <si>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</si>
  <si>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</si>
  <si>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</si>
  <si>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</si>
  <si>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</si>
  <si>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</si>
  <si>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</si>
  <si>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</si>
  <si>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</si>
  <si>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</si>
  <si>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</si>
  <si>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</si>
  <si>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</si>
  <si>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</si>
  <si>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</si>
  <si>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</si>
  <si>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</si>
  <si>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</si>
  <si>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</si>
  <si>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</si>
  <si>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</si>
  <si>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</si>
  <si>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</si>
  <si>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</si>
  <si>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</si>
  <si>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</si>
  <si>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</si>
  <si>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</si>
  <si>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</si>
  <si>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</si>
  <si>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</si>
  <si>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</si>
  <si>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</si>
  <si>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</si>
  <si>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</si>
  <si>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</si>
  <si>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</si>
  <si>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</si>
  <si>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</si>
  <si>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</si>
  <si>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</si>
  <si>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</si>
  <si>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</si>
  <si>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</si>
  <si>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</si>
  <si>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</si>
  <si>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</si>
  <si>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</si>
  <si>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</si>
  <si>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</si>
  <si>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</si>
  <si>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</si>
  <si>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</si>
  <si>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</si>
  <si>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</si>
  <si>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</si>
  <si>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</si>
  <si>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</si>
  <si>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</si>
  <si>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</si>
  <si>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</si>
  <si>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</si>
  <si>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</si>
  <si>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</si>
  <si>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</si>
  <si>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</si>
  <si>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</si>
  <si>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</si>
  <si>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</si>
  <si>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</si>
  <si>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</si>
  <si>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</si>
  <si>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</si>
  <si>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</si>
  <si>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</si>
  <si>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</si>
  <si>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</si>
  <si>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</si>
  <si>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</si>
  <si>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</si>
  <si>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</si>
  <si>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</si>
  <si>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</si>
  <si>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</si>
  <si>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</si>
  <si>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</si>
  <si>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</si>
  <si>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</si>
  <si>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</si>
  <si>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</si>
  <si>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</si>
  <si>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</si>
  <si>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</si>
  <si>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</si>
  <si>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</si>
  <si>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</si>
  <si>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</si>
  <si>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</si>
  <si>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</si>
  <si>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</si>
  <si>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</si>
  <si>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</si>
  <si>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</si>
  <si>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</si>
  <si>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</si>
  <si>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</si>
  <si>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</si>
  <si>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</si>
  <si>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</si>
  <si>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</si>
  <si>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</si>
  <si>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</si>
  <si>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</si>
  <si>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</si>
  <si>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</si>
  <si>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</si>
  <si>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</si>
  <si>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</si>
  <si>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</si>
  <si>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</si>
  <si>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</si>
  <si>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</si>
  <si>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</si>
  <si>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</si>
  <si>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</si>
  <si>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</si>
  <si>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</si>
  <si>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</si>
  <si>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</si>
  <si>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</si>
  <si>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</si>
  <si>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</si>
  <si>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</si>
  <si>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</si>
  <si>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</si>
  <si>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</si>
  <si>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</si>
  <si>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</si>
  <si>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</si>
  <si>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</si>
  <si>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</si>
  <si>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</si>
  <si>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</si>
  <si>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</si>
  <si>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</si>
  <si>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</si>
  <si>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</si>
  <si>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</si>
  <si>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</si>
  <si>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</si>
  <si>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</si>
  <si>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</si>
  <si>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</si>
  <si>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</si>
  <si>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</si>
  <si>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</si>
  <si>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</si>
  <si>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</si>
  <si>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</si>
  <si>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</si>
  <si>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</si>
  <si>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</si>
  <si>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</si>
  <si>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</si>
  <si>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</si>
  <si>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</si>
  <si>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</si>
  <si>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</si>
  <si>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</si>
  <si>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</si>
  <si>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</si>
  <si>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</si>
  <si>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</si>
  <si>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</si>
  <si>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</si>
  <si>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</si>
  <si>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</si>
  <si>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</si>
  <si>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</si>
  <si>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</si>
  <si>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</si>
  <si>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</si>
  <si>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</si>
  <si>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</si>
  <si>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</si>
  <si>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</si>
  <si>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</si>
  <si>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</si>
  <si>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</si>
  <si>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</si>
  <si>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</si>
  <si>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</si>
  <si>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</si>
  <si>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</si>
  <si>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</si>
  <si>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</si>
  <si>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</si>
  <si>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</si>
  <si>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</si>
  <si>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</si>
  <si>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</si>
  <si>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</si>
  <si>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</si>
  <si>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</si>
  <si>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</si>
  <si>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</si>
  <si>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</si>
  <si>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</si>
  <si>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</si>
  <si>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</si>
  <si>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</si>
  <si>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</si>
  <si>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</si>
  <si>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</si>
  <si>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</si>
  <si>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</si>
  <si>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</si>
  <si>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</si>
  <si>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</si>
  <si>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</si>
  <si>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</si>
  <si>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</si>
  <si>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</si>
  <si>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</si>
  <si>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</si>
  <si>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</si>
  <si>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</si>
  <si>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</si>
  <si>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</si>
  <si>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</si>
  <si>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</si>
  <si>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</si>
  <si>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</si>
  <si>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</si>
  <si>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</si>
  <si>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</si>
  <si>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</si>
  <si>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</si>
  <si>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01.01.2019 г.</t>
  </si>
  <si>
    <t>31.12.2019 г.</t>
  </si>
  <si>
    <t>30.03.2020 г.</t>
  </si>
  <si>
    <t>гр. София, бул. Христо Ботев 57, ет.3</t>
  </si>
  <si>
    <t>гр. София, ул. Георги С. Раковски 132, вх.А, ет.1, офис 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</si>
</sst>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31.12.2019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30.03.2020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1002</v>
      </c>
    </row>
    <row r="20" spans="1:2" ht="15.75">
      <c r="A20" s="7" t="s">
        <v>5</v>
      </c>
      <c r="B20" s="577" t="s">
        <v>1003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60310</v>
      </c>
      <c r="D6" s="674">
        <f aca="true" t="shared" si="0" ref="D6:D15">C6-E6</f>
        <v>0</v>
      </c>
      <c r="E6" s="673">
        <f>'1-Баланс'!G95</f>
        <v>60310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10554</v>
      </c>
      <c r="D7" s="674">
        <f t="shared" si="0"/>
        <v>9904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726</v>
      </c>
      <c r="D8" s="674">
        <f t="shared" si="0"/>
        <v>0</v>
      </c>
      <c r="E8" s="673">
        <f>ABS('2-Отчет за доходите'!C44)-ABS('2-Отчет за доходите'!G44)</f>
        <v>726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152</v>
      </c>
      <c r="D9" s="674">
        <f t="shared" si="0"/>
        <v>0</v>
      </c>
      <c r="E9" s="673">
        <f>'3-Отчет за паричния поток'!C45</f>
        <v>152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19</v>
      </c>
      <c r="D10" s="674">
        <f t="shared" si="0"/>
        <v>0</v>
      </c>
      <c r="E10" s="673">
        <f>'3-Отчет за паричния поток'!C46</f>
        <v>19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10554</v>
      </c>
      <c r="D11" s="674">
        <f t="shared" si="0"/>
        <v>0</v>
      </c>
      <c r="E11" s="673">
        <f>'4-Отчет за собствения капитал'!L34</f>
        <v>10554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0.06878908470722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0.014591205080794275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0.012037804675841486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1.2820512820512822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0.1621139856433974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0.1621139856433974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0.0009153538565303271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0.0009153538565303271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0.06163385753240447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0.05471729398109766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0.7331681541223168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4.714421072579117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0.8250041452495441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2721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0.2578169414440023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0.8245454545454546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18.28592429253951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53542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3403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56945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2566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650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3346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3365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60310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4484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4484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726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5210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10554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21176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28999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28999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12425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4126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3909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2694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93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297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20757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20757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60310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221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2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1995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76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2071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2574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726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2574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726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726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726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3300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919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2381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3300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3300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3300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1169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-3155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-382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-2630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-15347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14760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-587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14509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-9556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-1793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-76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3084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-133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-38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38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726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-158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-158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-1966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38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38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5210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5210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1966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9986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9986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726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-158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-158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38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38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10554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10554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39060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39060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12967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12967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120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120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51907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51907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1746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1746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111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111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53542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53542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53542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53542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3403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3403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2566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2566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650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650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3346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6749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2566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2566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650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650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3346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3346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3403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3403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21176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21176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7823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28999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12425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12425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4126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4126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3751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2694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93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297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20757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49756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12425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12425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4126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4126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3751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2694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93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297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20757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20757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21176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21176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7823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28999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28999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9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53542</v>
      </c>
      <c r="D21" s="477">
        <v>39060</v>
      </c>
      <c r="E21" s="89" t="s">
        <v>58</v>
      </c>
      <c r="F21" s="93" t="s">
        <v>59</v>
      </c>
      <c r="G21" s="197">
        <v>3850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4484</v>
      </c>
      <c r="H28" s="596">
        <f>SUM(H29:H31)</f>
        <v>3742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4484</v>
      </c>
      <c r="H29" s="197">
        <v>5708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726</v>
      </c>
      <c r="H32" s="197">
        <v>862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5210</v>
      </c>
      <c r="H34" s="598">
        <f>H28+H32+H33</f>
        <v>4604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10554</v>
      </c>
      <c r="H37" s="600">
        <f>H26+H18+H34</f>
        <v>9986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21176</v>
      </c>
      <c r="H45" s="197">
        <v>20998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28999</v>
      </c>
      <c r="H50" s="596">
        <f>SUM(H44:H49)</f>
        <v>32733</v>
      </c>
    </row>
    <row r="51" spans="1:8" ht="15.75">
      <c r="A51" s="89" t="s">
        <v>79</v>
      </c>
      <c r="B51" s="91" t="s">
        <v>155</v>
      </c>
      <c r="C51" s="197">
        <v>3403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3403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56945</v>
      </c>
      <c r="D56" s="602">
        <f>D20+D21+D22+D28+D33+D46+D52+D54+D55</f>
        <v>39963</v>
      </c>
      <c r="E56" s="100" t="s">
        <v>850</v>
      </c>
      <c r="F56" s="99" t="s">
        <v>172</v>
      </c>
      <c r="G56" s="599">
        <f>G50+G52+G53+G54+G55</f>
        <v>28999</v>
      </c>
      <c r="H56" s="600">
        <f>H50+H52+H53+H54+H55</f>
        <v>32733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12425</v>
      </c>
      <c r="H59" s="197">
        <v>3741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3912+214</f>
        <v>4126</v>
      </c>
      <c r="H60" s="197">
        <v>4197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3909</v>
      </c>
      <c r="H61" s="596">
        <f>SUM(H62:H68)</f>
        <v>4277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2694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93</v>
      </c>
      <c r="H68" s="197">
        <v>3234</v>
      </c>
    </row>
    <row r="69" spans="1:8" ht="15.75">
      <c r="A69" s="89" t="s">
        <v>210</v>
      </c>
      <c r="B69" s="91" t="s">
        <v>211</v>
      </c>
      <c r="C69" s="197"/>
      <c r="D69" s="196">
        <v>14745</v>
      </c>
      <c r="E69" s="201" t="s">
        <v>79</v>
      </c>
      <c r="F69" s="93" t="s">
        <v>216</v>
      </c>
      <c r="G69" s="197">
        <v>297</v>
      </c>
      <c r="H69" s="197">
        <v>59</v>
      </c>
    </row>
    <row r="70" spans="1:8" ht="15.75">
      <c r="A70" s="89" t="s">
        <v>214</v>
      </c>
      <c r="B70" s="91" t="s">
        <v>215</v>
      </c>
      <c r="C70" s="197">
        <v>130</v>
      </c>
      <c r="D70" s="196">
        <v>124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20757</v>
      </c>
      <c r="H71" s="598">
        <f>H59+H60+H61+H69+H70</f>
        <v>12274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366+2200</f>
        <v>2566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6+3+643-2</f>
        <v>650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3346</v>
      </c>
      <c r="D76" s="598">
        <f>SUM(D68:D75)</f>
        <v>14878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20757</v>
      </c>
      <c r="H79" s="600">
        <f>H71+H73+H75+H77</f>
        <v>12274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152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3365</v>
      </c>
      <c r="D94" s="602">
        <f>D65+D76+D85+D92+D93</f>
        <v>15030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60310</v>
      </c>
      <c r="D95" s="604">
        <f>D94+D56</f>
        <v>54993</v>
      </c>
      <c r="E95" s="229" t="s">
        <v>942</v>
      </c>
      <c r="F95" s="489" t="s">
        <v>268</v>
      </c>
      <c r="G95" s="603">
        <f>G37+G40+G56+G79</f>
        <v>60310</v>
      </c>
      <c r="H95" s="604">
        <f>H37+H40+H56+H79</f>
        <v>54993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 t="str">
        <f>pdeReportingDate</f>
        <v>30.03.2020 г.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 - Станислав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258</v>
      </c>
      <c r="D13" s="316">
        <v>188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919</v>
      </c>
      <c r="H14" s="316">
        <v>1418</v>
      </c>
    </row>
    <row r="15" spans="1:8" ht="15.75">
      <c r="A15" s="194" t="s">
        <v>287</v>
      </c>
      <c r="B15" s="190" t="s">
        <v>288</v>
      </c>
      <c r="C15" s="316">
        <v>21</v>
      </c>
      <c r="D15" s="316">
        <v>18</v>
      </c>
      <c r="E15" s="245" t="s">
        <v>79</v>
      </c>
      <c r="F15" s="240" t="s">
        <v>289</v>
      </c>
      <c r="G15" s="316">
        <f>746+1635</f>
        <v>2381</v>
      </c>
      <c r="H15" s="316">
        <v>24299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2</v>
      </c>
      <c r="E16" s="236" t="s">
        <v>52</v>
      </c>
      <c r="F16" s="264" t="s">
        <v>292</v>
      </c>
      <c r="G16" s="628">
        <f>SUM(G12:G15)</f>
        <v>3300</v>
      </c>
      <c r="H16" s="629">
        <f>SUM(H12:H15)</f>
        <v>25717</v>
      </c>
    </row>
    <row r="17" spans="1:8" ht="31.5">
      <c r="A17" s="194" t="s">
        <v>293</v>
      </c>
      <c r="B17" s="190" t="s">
        <v>294</v>
      </c>
      <c r="C17" s="316"/>
      <c r="D17" s="316">
        <v>21873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221</v>
      </c>
      <c r="D19" s="316">
        <v>317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2</v>
      </c>
      <c r="D21" s="316">
        <v>15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503</v>
      </c>
      <c r="D22" s="629">
        <f>SUM(D12:D18)+D19</f>
        <v>22398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1995</v>
      </c>
      <c r="D25" s="316">
        <v>2412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76</v>
      </c>
      <c r="D28" s="316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2071</v>
      </c>
      <c r="D29" s="629">
        <f>SUM(D25:D28)</f>
        <v>2457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2574</v>
      </c>
      <c r="D31" s="635">
        <f>D29+D22</f>
        <v>24855</v>
      </c>
      <c r="E31" s="251" t="s">
        <v>824</v>
      </c>
      <c r="F31" s="266" t="s">
        <v>331</v>
      </c>
      <c r="G31" s="253">
        <f>G16+G18+G27</f>
        <v>3300</v>
      </c>
      <c r="H31" s="254">
        <f>H16+H18+H27</f>
        <v>25717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726</v>
      </c>
      <c r="D33" s="244">
        <f>IF((H31-D31)&gt;0,H31-D31,0)</f>
        <v>862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2574</v>
      </c>
      <c r="D36" s="637">
        <f>D31-D34+D35</f>
        <v>24855</v>
      </c>
      <c r="E36" s="262" t="s">
        <v>346</v>
      </c>
      <c r="F36" s="256" t="s">
        <v>347</v>
      </c>
      <c r="G36" s="267">
        <f>G35-G34+G31</f>
        <v>3300</v>
      </c>
      <c r="H36" s="268">
        <f>H35-H34+H31</f>
        <v>25717</v>
      </c>
    </row>
    <row r="37" spans="1:8" ht="15.75">
      <c r="A37" s="261" t="s">
        <v>348</v>
      </c>
      <c r="B37" s="231" t="s">
        <v>349</v>
      </c>
      <c r="C37" s="634">
        <f>IF((G36-C36)&gt;0,G36-C36,0)</f>
        <v>726</v>
      </c>
      <c r="D37" s="635">
        <f>IF((H36-D36)&gt;0,H36-D36,0)</f>
        <v>862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726</v>
      </c>
      <c r="D42" s="244">
        <f>+IF((H36-D36-D38)&gt;0,H36-D36-D38,0)</f>
        <v>862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726</v>
      </c>
      <c r="D44" s="268">
        <f>IF(H42=0,IF(D42-D43&gt;0,D42-D43+H43,0),IF(H42-H43&lt;0,H43-H42+D42,0))</f>
        <v>862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3300</v>
      </c>
      <c r="D45" s="631">
        <f>D36+D38+D42</f>
        <v>25717</v>
      </c>
      <c r="E45" s="270" t="s">
        <v>373</v>
      </c>
      <c r="F45" s="272" t="s">
        <v>374</v>
      </c>
      <c r="G45" s="630">
        <f>G42+G36</f>
        <v>3300</v>
      </c>
      <c r="H45" s="631">
        <f>H42+H36</f>
        <v>25717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 t="str">
        <f>pdeReportingDate</f>
        <v>30.03.2020 г.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 - Станислав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1169</v>
      </c>
      <c r="D11" s="197">
        <v>1855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-238</v>
      </c>
      <c r="D12" s="197">
        <v>-163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</v>
      </c>
      <c r="D14" s="197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-3155</v>
      </c>
      <c r="D15" s="197">
        <v>-303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32-414</f>
        <v>-382</v>
      </c>
      <c r="D20" s="197">
        <v>-124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-2630</v>
      </c>
      <c r="D21" s="659">
        <f>SUM(D11:D20)</f>
        <v>1242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-15347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14760</v>
      </c>
      <c r="D24" s="197">
        <v>11582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-587</v>
      </c>
      <c r="D33" s="659">
        <f>SUM(D23:D32)</f>
        <v>11582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10050+4459</f>
        <v>14509</v>
      </c>
      <c r="D37" s="197">
        <v>7721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-6797-2759</f>
        <v>-9556</v>
      </c>
      <c r="D38" s="197">
        <v>-18730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-1793</v>
      </c>
      <c r="D40" s="197">
        <v>-2416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-76</v>
      </c>
      <c r="D42" s="197">
        <v>-44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3084</v>
      </c>
      <c r="D43" s="661">
        <f>SUM(D35:D42)</f>
        <v>-13469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-133</v>
      </c>
      <c r="D44" s="307">
        <f>D43+D33+D21</f>
        <v>-645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797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152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</v>
      </c>
      <c r="D47" s="298">
        <v>152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 t="str">
        <f>pdeReportingDate</f>
        <v>30.03.2020 г.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 - Станислав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5" sqref="I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6570</v>
      </c>
      <c r="J13" s="584">
        <f>'1-Баланс'!H30+'1-Баланс'!H33</f>
        <v>-1966</v>
      </c>
      <c r="K13" s="585"/>
      <c r="L13" s="584">
        <f>SUM(C13:K13)</f>
        <v>9986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6570</v>
      </c>
      <c r="J17" s="653">
        <f t="shared" si="2"/>
        <v>-1966</v>
      </c>
      <c r="K17" s="653">
        <f t="shared" si="2"/>
        <v>0</v>
      </c>
      <c r="L17" s="584">
        <f t="shared" si="1"/>
        <v>9986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726</v>
      </c>
      <c r="J18" s="584">
        <f>+'1-Баланс'!G33</f>
        <v>0</v>
      </c>
      <c r="K18" s="585"/>
      <c r="L18" s="584">
        <f t="shared" si="1"/>
        <v>726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-158</v>
      </c>
      <c r="J19" s="168">
        <f>J20+J21</f>
        <v>0</v>
      </c>
      <c r="K19" s="168">
        <f t="shared" si="3"/>
        <v>0</v>
      </c>
      <c r="L19" s="584">
        <f t="shared" si="1"/>
        <v>-158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-158</v>
      </c>
      <c r="J20" s="316"/>
      <c r="K20" s="316"/>
      <c r="L20" s="584">
        <f>SUM(C20:K20)</f>
        <v>-158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-1966</v>
      </c>
      <c r="J22" s="316">
        <v>1966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-38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38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38</v>
      </c>
      <c r="J24" s="316"/>
      <c r="K24" s="316"/>
      <c r="L24" s="584">
        <f t="shared" si="1"/>
        <v>38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38</v>
      </c>
      <c r="F25" s="316"/>
      <c r="G25" s="316"/>
      <c r="H25" s="316"/>
      <c r="I25" s="316"/>
      <c r="J25" s="316"/>
      <c r="K25" s="316"/>
      <c r="L25" s="584">
        <f t="shared" si="1"/>
        <v>38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5210</v>
      </c>
      <c r="J31" s="653">
        <f t="shared" si="6"/>
        <v>0</v>
      </c>
      <c r="K31" s="653">
        <f t="shared" si="6"/>
        <v>0</v>
      </c>
      <c r="L31" s="584">
        <f t="shared" si="1"/>
        <v>10554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5210</v>
      </c>
      <c r="J34" s="587">
        <f t="shared" si="7"/>
        <v>0</v>
      </c>
      <c r="K34" s="587">
        <f t="shared" si="7"/>
        <v>0</v>
      </c>
      <c r="L34" s="651">
        <f t="shared" si="1"/>
        <v>10554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 t="str">
        <f>pdeReportingDate</f>
        <v>30.03.2020 г.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 - Станислав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 t="str">
        <f>pdeReportingDate</f>
        <v>30.03.2020 г.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 - Станислав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39060</v>
      </c>
      <c r="E20" s="328">
        <f>11736+1231</f>
        <v>12967</v>
      </c>
      <c r="F20" s="328">
        <v>120</v>
      </c>
      <c r="G20" s="329">
        <f t="shared" si="2"/>
        <v>51907</v>
      </c>
      <c r="H20" s="328">
        <f>1706+40</f>
        <v>1746</v>
      </c>
      <c r="I20" s="328">
        <f>7+104</f>
        <v>111</v>
      </c>
      <c r="J20" s="329">
        <f t="shared" si="3"/>
        <v>53542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53542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39060</v>
      </c>
      <c r="E42" s="349">
        <f>E19+E20+E21+E27+E40+E41</f>
        <v>12967</v>
      </c>
      <c r="F42" s="349">
        <f aca="true" t="shared" si="11" ref="F42:R42">F19+F20+F21+F27+F40+F41</f>
        <v>120</v>
      </c>
      <c r="G42" s="349">
        <f t="shared" si="11"/>
        <v>51907</v>
      </c>
      <c r="H42" s="349">
        <f t="shared" si="11"/>
        <v>1746</v>
      </c>
      <c r="I42" s="349">
        <f t="shared" si="11"/>
        <v>111</v>
      </c>
      <c r="J42" s="349">
        <f t="shared" si="11"/>
        <v>53542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53542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 t="str">
        <f>pdeReportingDate</f>
        <v>30.03.2020 г.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Сателит Х АД - Станислав Арсов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0">
      <selection activeCell="E99" sqref="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3403</v>
      </c>
      <c r="D18" s="362">
        <f>+D19+D20</f>
        <v>0</v>
      </c>
      <c r="E18" s="369">
        <f t="shared" si="0"/>
        <v>3403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3403</v>
      </c>
      <c r="D20" s="368"/>
      <c r="E20" s="369">
        <f t="shared" si="0"/>
        <v>3403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3403</v>
      </c>
      <c r="D21" s="440">
        <f>D13+D17+D18</f>
        <v>0</v>
      </c>
      <c r="E21" s="441">
        <f>E13+E17+E18</f>
        <v>3403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130</v>
      </c>
      <c r="D31" s="368">
        <v>130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2566</v>
      </c>
      <c r="D35" s="362">
        <f>SUM(D36:D39)</f>
        <v>2566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2566</v>
      </c>
      <c r="D37" s="368">
        <v>2566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650</v>
      </c>
      <c r="D40" s="362">
        <f>SUM(D41:D44)</f>
        <v>650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650</v>
      </c>
      <c r="D44" s="368">
        <v>650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3346</v>
      </c>
      <c r="D45" s="438">
        <f>D26+D30+D31+D33+D32+D34+D35+D40</f>
        <v>3346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6749</v>
      </c>
      <c r="D46" s="444">
        <f>D45+D23+D21+D11</f>
        <v>3346</v>
      </c>
      <c r="E46" s="445">
        <f>E45+E23+E21+E11</f>
        <v>3403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21176</v>
      </c>
      <c r="D58" s="138">
        <f>D59+D61</f>
        <v>0</v>
      </c>
      <c r="E58" s="136">
        <f t="shared" si="1"/>
        <v>21176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21176</v>
      </c>
      <c r="D59" s="197"/>
      <c r="E59" s="136">
        <f t="shared" si="1"/>
        <v>21176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28999</v>
      </c>
      <c r="D68" s="435">
        <f>D54+D58+D63+D64+D65+D66</f>
        <v>0</v>
      </c>
      <c r="E68" s="436">
        <f t="shared" si="1"/>
        <v>28999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12425</v>
      </c>
      <c r="D77" s="138">
        <f>D78+D80</f>
        <v>12425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12425</v>
      </c>
      <c r="D78" s="197">
        <v>12425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4126</v>
      </c>
      <c r="D82" s="138">
        <f>SUM(D83:D86)</f>
        <v>4126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4126</v>
      </c>
      <c r="D84" s="197">
        <v>4126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3751</v>
      </c>
      <c r="D87" s="134">
        <f>SUM(D88:D92)+D96</f>
        <v>3751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2694</v>
      </c>
      <c r="D89" s="197">
        <v>2694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93</v>
      </c>
      <c r="D92" s="138">
        <f>SUM(D93:D95)</f>
        <v>93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93</v>
      </c>
      <c r="D95" s="197">
        <v>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297</v>
      </c>
      <c r="D97" s="197">
        <v>297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20757</v>
      </c>
      <c r="D98" s="433">
        <f>D87+D82+D77+D73+D97</f>
        <v>20757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49756</v>
      </c>
      <c r="D99" s="427">
        <f>D98+D70+D68</f>
        <v>20757</v>
      </c>
      <c r="E99" s="427">
        <f>E98+E70+E68</f>
        <v>28999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 t="str">
        <f>pdeReportingDate</f>
        <v>30.03.2020 г.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 - Станислав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 t="str">
        <f>pdeReportingDate</f>
        <v>30.03.2020 г.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 - Станислав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n.budinova</cp:lastModifiedBy>
  <cp:lastPrinted>2016-09-14T10:20:26Z</cp:lastPrinted>
  <dcterms:created xsi:type="dcterms:W3CDTF">2006-09-16T00:00:00Z</dcterms:created>
  <dcterms:modified xsi:type="dcterms:W3CDTF">2020-07-31T13:15:25Z</dcterms:modified>
  <cp:category/>
  <cp:version/>
  <cp:contentType/>
  <cp:contentStatus/>
</cp:coreProperties>
</file>