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<sst xmlns="http://schemas.openxmlformats.org/spreadsheetml/2006/main" count="4313" uniqueCount="1002">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</sst>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Trial%20Balance_Y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Trial%20Balance_Y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12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SEPTEMBER%202016\Interim_Cash%20flow%2009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1">
          <cell r="C11">
            <v>185</v>
          </cell>
          <cell r="D11">
            <v>185</v>
          </cell>
        </row>
        <row r="12">
          <cell r="C12">
            <v>330</v>
          </cell>
          <cell r="D12">
            <v>350</v>
          </cell>
        </row>
        <row r="13">
          <cell r="C13">
            <v>10409</v>
          </cell>
          <cell r="D13">
            <v>10442</v>
          </cell>
        </row>
        <row r="14">
          <cell r="C14">
            <v>0</v>
          </cell>
        </row>
        <row r="15">
          <cell r="C15">
            <v>6013</v>
          </cell>
          <cell r="D15">
            <v>5148</v>
          </cell>
        </row>
        <row r="18">
          <cell r="C18">
            <v>123</v>
          </cell>
          <cell r="D18">
            <v>136</v>
          </cell>
        </row>
        <row r="24">
          <cell r="C24">
            <v>4781</v>
          </cell>
          <cell r="D24">
            <v>4987</v>
          </cell>
        </row>
        <row r="25">
          <cell r="C25">
            <v>4</v>
          </cell>
          <cell r="D25">
            <v>35</v>
          </cell>
        </row>
        <row r="26">
          <cell r="C26">
            <v>283892</v>
          </cell>
          <cell r="D26">
            <v>273994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6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  <sheetName val="492"/>
    </sheetNames>
    <sheetDataSet>
      <sheetData sheetId="2">
        <row r="71">
          <cell r="F71">
            <v>-160868089.81</v>
          </cell>
        </row>
        <row r="113">
          <cell r="F113">
            <v>3370987.867500024</v>
          </cell>
        </row>
        <row r="115">
          <cell r="F115">
            <v>-449991.45668595005</v>
          </cell>
        </row>
      </sheetData>
      <sheetData sheetId="4">
        <row r="5">
          <cell r="AK5">
            <v>129800</v>
          </cell>
          <cell r="AL5">
            <v>124968</v>
          </cell>
        </row>
        <row r="6">
          <cell r="AK6">
            <v>2365</v>
          </cell>
          <cell r="AL6">
            <v>1760</v>
          </cell>
        </row>
        <row r="7">
          <cell r="AK7">
            <v>37907</v>
          </cell>
          <cell r="AL7">
            <v>30797</v>
          </cell>
        </row>
        <row r="10">
          <cell r="AK10">
            <v>-8763</v>
          </cell>
          <cell r="AL10">
            <v>-8738</v>
          </cell>
        </row>
        <row r="11">
          <cell r="AK11">
            <v>-25806</v>
          </cell>
          <cell r="AL11">
            <v>-25303</v>
          </cell>
        </row>
        <row r="12">
          <cell r="AK12">
            <v>-32038</v>
          </cell>
          <cell r="AL12">
            <v>-28907</v>
          </cell>
        </row>
        <row r="13">
          <cell r="AK13">
            <v>-18069</v>
          </cell>
          <cell r="AL13">
            <v>-16900</v>
          </cell>
        </row>
        <row r="14">
          <cell r="AK14">
            <v>-4533</v>
          </cell>
          <cell r="AL14">
            <v>-4399</v>
          </cell>
          <cell r="AP14">
            <v>-2359</v>
          </cell>
          <cell r="AQ14">
            <v>252</v>
          </cell>
        </row>
        <row r="15">
          <cell r="AK15">
            <v>-8208</v>
          </cell>
          <cell r="AL15">
            <v>-8098</v>
          </cell>
        </row>
        <row r="16">
          <cell r="AK16">
            <v>-1299</v>
          </cell>
          <cell r="AL16">
            <v>-2983</v>
          </cell>
        </row>
        <row r="17">
          <cell r="AK17">
            <v>-37907</v>
          </cell>
          <cell r="AL17">
            <v>-30797</v>
          </cell>
        </row>
      </sheetData>
      <sheetData sheetId="5">
        <row r="10">
          <cell r="W10">
            <v>5</v>
          </cell>
          <cell r="X10">
            <v>5</v>
          </cell>
        </row>
        <row r="11">
          <cell r="W11">
            <v>6625</v>
          </cell>
          <cell r="X11">
            <v>6175</v>
          </cell>
        </row>
        <row r="12">
          <cell r="W12">
            <v>290</v>
          </cell>
          <cell r="X12">
            <v>983</v>
          </cell>
        </row>
        <row r="16">
          <cell r="W16">
            <v>1064</v>
          </cell>
          <cell r="X16">
            <v>1346</v>
          </cell>
        </row>
        <row r="17">
          <cell r="W17">
            <v>35251</v>
          </cell>
          <cell r="X17">
            <v>32867</v>
          </cell>
        </row>
        <row r="18">
          <cell r="W18">
            <v>76</v>
          </cell>
        </row>
        <row r="19">
          <cell r="W19">
            <v>69</v>
          </cell>
          <cell r="X19">
            <v>62</v>
          </cell>
        </row>
        <row r="20">
          <cell r="W20">
            <v>17219</v>
          </cell>
          <cell r="X20">
            <v>16818</v>
          </cell>
        </row>
        <row r="27">
          <cell r="W27">
            <v>8884</v>
          </cell>
          <cell r="X27">
            <v>8884</v>
          </cell>
        </row>
        <row r="28">
          <cell r="W28">
            <v>10774</v>
          </cell>
          <cell r="X28">
            <v>10774</v>
          </cell>
        </row>
        <row r="32">
          <cell r="I32">
            <v>-309</v>
          </cell>
        </row>
        <row r="34">
          <cell r="W34">
            <v>26931</v>
          </cell>
          <cell r="X34">
            <v>35793</v>
          </cell>
        </row>
        <row r="35">
          <cell r="W35">
            <v>1880</v>
          </cell>
          <cell r="X35">
            <v>1469</v>
          </cell>
        </row>
        <row r="36">
          <cell r="W36">
            <v>1084</v>
          </cell>
          <cell r="X36">
            <v>883</v>
          </cell>
        </row>
        <row r="37">
          <cell r="W37">
            <v>2771</v>
          </cell>
          <cell r="X37">
            <v>1816</v>
          </cell>
        </row>
        <row r="38">
          <cell r="W38">
            <v>8737</v>
          </cell>
          <cell r="X38">
            <v>10469</v>
          </cell>
        </row>
        <row r="43">
          <cell r="W43">
            <v>1283</v>
          </cell>
          <cell r="X43">
            <v>1178</v>
          </cell>
        </row>
        <row r="44">
          <cell r="W44">
            <v>200</v>
          </cell>
          <cell r="X44">
            <v>200</v>
          </cell>
        </row>
        <row r="45">
          <cell r="W45">
            <v>442</v>
          </cell>
          <cell r="X45">
            <v>660</v>
          </cell>
        </row>
        <row r="46">
          <cell r="W46">
            <v>4786</v>
          </cell>
          <cell r="X46">
            <v>4836</v>
          </cell>
        </row>
        <row r="48">
          <cell r="W48">
            <v>3157</v>
          </cell>
          <cell r="X48">
            <v>5973</v>
          </cell>
        </row>
        <row r="49">
          <cell r="W49">
            <v>395</v>
          </cell>
          <cell r="X49">
            <v>469</v>
          </cell>
        </row>
      </sheetData>
      <sheetData sheetId="6">
        <row r="75">
          <cell r="C75">
            <v>23184</v>
          </cell>
        </row>
        <row r="77">
          <cell r="C77">
            <v>50810.75</v>
          </cell>
        </row>
        <row r="82">
          <cell r="C82">
            <v>-843590</v>
          </cell>
        </row>
        <row r="83">
          <cell r="C83">
            <v>-4239429</v>
          </cell>
        </row>
        <row r="84">
          <cell r="C84">
            <v>0</v>
          </cell>
        </row>
        <row r="85">
          <cell r="C85">
            <v>-74487</v>
          </cell>
        </row>
        <row r="86">
          <cell r="C86">
            <v>-16994</v>
          </cell>
        </row>
        <row r="87">
          <cell r="C87">
            <v>-30589</v>
          </cell>
        </row>
        <row r="88">
          <cell r="C88">
            <v>-262382</v>
          </cell>
        </row>
        <row r="89">
          <cell r="C89">
            <v>-40082</v>
          </cell>
        </row>
        <row r="90">
          <cell r="C90">
            <v>-42849</v>
          </cell>
        </row>
      </sheetData>
      <sheetData sheetId="7">
        <row r="40">
          <cell r="E40">
            <v>39</v>
          </cell>
        </row>
        <row r="54">
          <cell r="E54">
            <v>12026</v>
          </cell>
        </row>
        <row r="55">
          <cell r="E55">
            <v>2427</v>
          </cell>
        </row>
        <row r="56">
          <cell r="E56">
            <v>3833</v>
          </cell>
        </row>
        <row r="57">
          <cell r="E57">
            <v>1061</v>
          </cell>
        </row>
        <row r="58">
          <cell r="E58">
            <v>852</v>
          </cell>
        </row>
        <row r="61">
          <cell r="E61">
            <v>644</v>
          </cell>
        </row>
        <row r="62">
          <cell r="E62">
            <v>2210</v>
          </cell>
        </row>
        <row r="63">
          <cell r="E63">
            <v>3991.6940600000003</v>
          </cell>
        </row>
        <row r="65">
          <cell r="E65">
            <v>282.42131</v>
          </cell>
        </row>
        <row r="75">
          <cell r="E75">
            <v>1853.132543805847</v>
          </cell>
        </row>
        <row r="107">
          <cell r="C107">
            <v>5973</v>
          </cell>
          <cell r="D107">
            <v>245</v>
          </cell>
          <cell r="E107">
            <v>-100.3545</v>
          </cell>
          <cell r="F107">
            <v>-2961.1455</v>
          </cell>
        </row>
      </sheetData>
      <sheetData sheetId="10">
        <row r="195">
          <cell r="C195">
            <v>1352.631</v>
          </cell>
        </row>
        <row r="196">
          <cell r="C196">
            <v>16.994</v>
          </cell>
        </row>
        <row r="197">
          <cell r="C197">
            <v>177.49</v>
          </cell>
        </row>
        <row r="198">
          <cell r="C198">
            <v>89.791</v>
          </cell>
        </row>
        <row r="200">
          <cell r="C200">
            <v>-157.179</v>
          </cell>
        </row>
      </sheetData>
      <sheetData sheetId="28">
        <row r="24">
          <cell r="G24">
            <v>71407403.91803311</v>
          </cell>
        </row>
        <row r="39">
          <cell r="G39">
            <v>8816205.193548113</v>
          </cell>
        </row>
        <row r="43">
          <cell r="G43">
            <v>35747173.38075323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5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</sheetNames>
    <sheetDataSet>
      <sheetData sheetId="2">
        <row r="71">
          <cell r="F71">
            <v>-138398625.75</v>
          </cell>
        </row>
        <row r="113">
          <cell r="F113">
            <v>2921054.6622699345</v>
          </cell>
        </row>
        <row r="115">
          <cell r="F115">
            <v>-333129.71468591806</v>
          </cell>
        </row>
      </sheetData>
      <sheetData sheetId="5">
        <row r="32">
          <cell r="I32">
            <v>-219</v>
          </cell>
        </row>
        <row r="48">
          <cell r="I48">
            <v>1172</v>
          </cell>
        </row>
      </sheetData>
      <sheetData sheetId="6">
        <row r="75">
          <cell r="C75">
            <v>18774</v>
          </cell>
        </row>
        <row r="77">
          <cell r="C77">
            <v>35749.87</v>
          </cell>
        </row>
        <row r="82">
          <cell r="C82">
            <v>-1119248</v>
          </cell>
        </row>
        <row r="83">
          <cell r="C83">
            <v>-4404593</v>
          </cell>
        </row>
        <row r="84">
          <cell r="C84">
            <v>0</v>
          </cell>
        </row>
        <row r="85">
          <cell r="C85">
            <v>-87743</v>
          </cell>
        </row>
        <row r="86">
          <cell r="C86">
            <v>-31014</v>
          </cell>
        </row>
        <row r="87">
          <cell r="C87">
            <v>-37507</v>
          </cell>
        </row>
        <row r="88">
          <cell r="C88">
            <v>-594293</v>
          </cell>
        </row>
        <row r="89">
          <cell r="C89">
            <v>-40794</v>
          </cell>
        </row>
        <row r="90">
          <cell r="C90">
            <v>-81939</v>
          </cell>
        </row>
      </sheetData>
      <sheetData sheetId="7">
        <row r="40">
          <cell r="E40">
            <v>77</v>
          </cell>
        </row>
        <row r="54">
          <cell r="E54">
            <v>11794</v>
          </cell>
        </row>
        <row r="55">
          <cell r="E55">
            <v>2273</v>
          </cell>
        </row>
        <row r="56">
          <cell r="E56">
            <v>3539</v>
          </cell>
        </row>
        <row r="57">
          <cell r="E57">
            <v>3108</v>
          </cell>
        </row>
        <row r="58">
          <cell r="E58">
            <v>856</v>
          </cell>
        </row>
        <row r="61">
          <cell r="E61">
            <v>590</v>
          </cell>
        </row>
        <row r="63">
          <cell r="E63">
            <v>4082.11767</v>
          </cell>
        </row>
        <row r="73">
          <cell r="E73">
            <v>2011.1731896960473</v>
          </cell>
        </row>
      </sheetData>
      <sheetData sheetId="28">
        <row r="24">
          <cell r="G24">
            <v>71313371.46509053</v>
          </cell>
        </row>
        <row r="39">
          <cell r="G39">
            <v>8763594.253022939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149752.05785542</v>
          </cell>
          <cell r="Q12">
            <v>142815.83674</v>
          </cell>
        </row>
        <row r="14">
          <cell r="O14">
            <v>-25345.014149999995</v>
          </cell>
          <cell r="Q14">
            <v>-25085.042189999996</v>
          </cell>
        </row>
        <row r="15">
          <cell r="O15">
            <v>-2115.53924</v>
          </cell>
          <cell r="Q15">
            <v>-2117.43557285</v>
          </cell>
        </row>
        <row r="16">
          <cell r="O16">
            <v>-16363.405536666669</v>
          </cell>
          <cell r="Q16">
            <v>-14956.812811666668</v>
          </cell>
        </row>
        <row r="17">
          <cell r="O17">
            <v>-1248.8803900000003</v>
          </cell>
          <cell r="Q17">
            <v>-1501.1422100000007</v>
          </cell>
        </row>
        <row r="18">
          <cell r="O18">
            <v>-1496.20995</v>
          </cell>
          <cell r="Q18">
            <v>-2992.4199</v>
          </cell>
        </row>
        <row r="19">
          <cell r="O19">
            <v>-1194.2024000000001</v>
          </cell>
          <cell r="Q19">
            <v>-1011.2619833333334</v>
          </cell>
        </row>
        <row r="20">
          <cell r="O20">
            <v>-399.17060000000004</v>
          </cell>
          <cell r="Q20">
            <v>-263.9376</v>
          </cell>
        </row>
        <row r="21">
          <cell r="O21">
            <v>-5760.2236850000045</v>
          </cell>
          <cell r="Q21">
            <v>-4352.116593333333</v>
          </cell>
        </row>
        <row r="22">
          <cell r="O22">
            <v>-5075.118172333334</v>
          </cell>
          <cell r="Q22">
            <v>-4487.524392236661</v>
          </cell>
        </row>
        <row r="30">
          <cell r="O30">
            <v>-18612.010568000005</v>
          </cell>
          <cell r="Q30">
            <v>-19197.850175999993</v>
          </cell>
        </row>
        <row r="34">
          <cell r="O34">
            <v>-40540.725506</v>
          </cell>
          <cell r="Q34">
            <v>-31755.144475999994</v>
          </cell>
        </row>
        <row r="36">
          <cell r="O36">
            <v>-3749.090730000001</v>
          </cell>
          <cell r="Q36">
            <v>-1840.4648099999997</v>
          </cell>
        </row>
        <row r="37">
          <cell r="O37">
            <v>-11983.156289999999</v>
          </cell>
          <cell r="Q37">
            <v>-12963.872800000001</v>
          </cell>
        </row>
        <row r="38">
          <cell r="O38">
            <v>-119.77924999999999</v>
          </cell>
          <cell r="Q38">
            <v>-222.14441</v>
          </cell>
        </row>
        <row r="41">
          <cell r="O41">
            <v>-589.658</v>
          </cell>
          <cell r="Q41">
            <v>-803.0887399999999</v>
          </cell>
        </row>
        <row r="42">
          <cell r="O42">
            <v>-4145.39647</v>
          </cell>
          <cell r="Q42">
            <v>-4320.01358</v>
          </cell>
        </row>
        <row r="43">
          <cell r="O43">
            <v>150.98413</v>
          </cell>
          <cell r="Q43">
            <v>100.62433000000001</v>
          </cell>
        </row>
        <row r="44">
          <cell r="O44">
            <v>-1700.9616199999996</v>
          </cell>
          <cell r="Q44">
            <v>-1546.5686899999996</v>
          </cell>
        </row>
        <row r="47">
          <cell r="O47">
            <v>-9063.316219999999</v>
          </cell>
          <cell r="Q47">
            <v>-9063.316219999999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1">
          <cell r="O51">
            <v>16818.206090580003</v>
          </cell>
          <cell r="Q51">
            <v>12381.973175999992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Анелия Илиева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366336</v>
      </c>
      <c r="D6" s="675">
        <f aca="true" t="shared" si="0" ref="D6:D15">C6-E6</f>
        <v>0</v>
      </c>
      <c r="E6" s="674">
        <f>'1-Баланс'!G95</f>
        <v>366336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205268</v>
      </c>
      <c r="D7" s="675">
        <f t="shared" si="0"/>
        <v>196384</v>
      </c>
      <c r="E7" s="674">
        <f>'1-Баланс'!G18</f>
        <v>8884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25052</v>
      </c>
      <c r="D8" s="675">
        <f t="shared" si="0"/>
        <v>-0.0035891859261028003</v>
      </c>
      <c r="E8" s="674">
        <f>ABS('2-Отчет за доходите'!C44)-ABS('2-Отчет за доходите'!G44)</f>
        <v>25052.003589185926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16818</v>
      </c>
      <c r="D9" s="675">
        <f t="shared" si="0"/>
        <v>-0.20609058000263758</v>
      </c>
      <c r="E9" s="674">
        <f>'3-Отчет за паричния поток'!C45</f>
        <v>16818.206090580003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17219</v>
      </c>
      <c r="D10" s="675">
        <f t="shared" si="0"/>
        <v>-0.20609058000263758</v>
      </c>
      <c r="E10" s="674">
        <f>'3-Отчет за паричния поток'!C46</f>
        <v>17219.206090580003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205268</v>
      </c>
      <c r="D11" s="675">
        <f t="shared" si="0"/>
        <v>0</v>
      </c>
      <c r="E11" s="674">
        <f>'4-Отчет за собствения капитал'!L34</f>
        <v>205268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0.14730231901782775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0.12204532611025586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0.1555367919139742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0.0683853074772886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1.1967532513205743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0.44857727823507293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0.43968578949567544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0.14389336898842603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0.14389336898842603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0.5543397837686318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0.4642513976240391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0.16784705133558464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0.7846717462049614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0.4396728686233403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33148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0.1614864469863788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0.38311802804650125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2.470898659221305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10409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6013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123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17060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4781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4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283892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288677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290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290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6625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312657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1064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1064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69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35251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76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35396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39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17180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17219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53679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366336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-309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10465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160867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160867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25052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185919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205268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28811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12592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41403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41403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10099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99613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76193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18219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3833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644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724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6401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3552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119665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119665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366336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8763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25806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32038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18069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4533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47414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8208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-2359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136623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5175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43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332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5550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142173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27973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142173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27973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2920.996410814074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3370.987867500024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-449.99145668595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25052.003589185926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25052.003589185926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170146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132165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37907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170072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51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74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170146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170146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170146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149752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-25345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-12103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-3749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-52265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56290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-40541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-40541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-9063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-1701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-4735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151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-15348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401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16818.206090580003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17219.206090580003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17219.206090580003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225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-219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-219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-90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-90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-309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-309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160867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160867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25052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185919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185919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180306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180306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25052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-90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-90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205268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205268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27731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13831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1170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43442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19621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424962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465624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516459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2208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1948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15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4171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461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79762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80223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84394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273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834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1107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41854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41854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42961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29666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14945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1185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46506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20082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462870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503993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557892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29666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14945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1185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46506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20082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462870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503993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557892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175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17289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8683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1034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27181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14635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21006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150969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186610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221184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20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2227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1057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28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3332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666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31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28009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28706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32038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259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808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1067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1067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195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19257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8932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1062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29446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15301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21037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178978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215316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252155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195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19257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8932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1062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29446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15301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21037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178978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215316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252155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330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10409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6013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123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17060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4781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4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283892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288677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305737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290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290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290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6625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69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69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35251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76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76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35396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42311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69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69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35251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76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76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35396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35396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290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290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290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6625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6915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35747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35747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14671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3163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50418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76193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76193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23420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18219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3833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724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724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644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6401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106014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156432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8816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8816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1283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1283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10099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76193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76193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23420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18219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3833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724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724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644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6401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106014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116113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26931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26931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13388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1880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40319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40319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5973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1353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7326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246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283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529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3062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157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3219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3157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1479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4636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2">
      <selection activeCell="G49" sqref="G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'[1]справка №1-БАЛАНС'!C11</f>
        <v>185</v>
      </c>
      <c r="D12" s="196">
        <f>'[1]справка №1-БАЛАНС'!D11</f>
        <v>185</v>
      </c>
      <c r="E12" s="89" t="s">
        <v>25</v>
      </c>
      <c r="F12" s="93" t="s">
        <v>26</v>
      </c>
      <c r="G12" s="197">
        <f>'[2]BS_KPMG'!W$27</f>
        <v>8884</v>
      </c>
      <c r="H12" s="196">
        <f>'[2]BS_KPMG'!X$27</f>
        <v>8884</v>
      </c>
    </row>
    <row r="13" spans="1:8" ht="15.75">
      <c r="A13" s="89" t="s">
        <v>27</v>
      </c>
      <c r="B13" s="91" t="s">
        <v>28</v>
      </c>
      <c r="C13" s="197">
        <f>'[1]справка №1-БАЛАНС'!C12</f>
        <v>330</v>
      </c>
      <c r="D13" s="196">
        <f>'[1]справка №1-БАЛАНС'!D12</f>
        <v>350</v>
      </c>
      <c r="E13" s="89" t="s">
        <v>846</v>
      </c>
      <c r="F13" s="93" t="s">
        <v>29</v>
      </c>
      <c r="G13" s="197">
        <f>G12</f>
        <v>8884</v>
      </c>
      <c r="H13" s="196">
        <f>H12</f>
        <v>8884</v>
      </c>
    </row>
    <row r="14" spans="1:8" ht="15.75">
      <c r="A14" s="89" t="s">
        <v>30</v>
      </c>
      <c r="B14" s="91" t="s">
        <v>31</v>
      </c>
      <c r="C14" s="197">
        <f>'[1]справка №1-БАЛАНС'!C13</f>
        <v>10409</v>
      </c>
      <c r="D14" s="196">
        <f>'[1]справка №1-БАЛАНС'!D13</f>
        <v>10442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'[1]справка №1-БАЛАНС'!D14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'[1]справка №1-БАЛАНС'!C15</f>
        <v>6013</v>
      </c>
      <c r="D16" s="196">
        <f>'[1]справка №1-БАЛАНС'!D15</f>
        <v>5148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'[1]справка №1-БАЛАНС'!C16</f>
        <v>0</v>
      </c>
      <c r="D17" s="196">
        <f>'[1]справка №1-БАЛАНС'!D16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'[1]справка №1-БАЛАНС'!C17</f>
        <v>0</v>
      </c>
      <c r="D18" s="196">
        <f>'[1]справка №1-БАЛАНС'!D17</f>
        <v>0</v>
      </c>
      <c r="E18" s="481" t="s">
        <v>47</v>
      </c>
      <c r="F18" s="480" t="s">
        <v>48</v>
      </c>
      <c r="G18" s="609">
        <f>G12+G15+G16+G17</f>
        <v>8884</v>
      </c>
      <c r="H18" s="610">
        <f>H12+H15+H16+H17</f>
        <v>8884</v>
      </c>
    </row>
    <row r="19" spans="1:8" ht="15.75">
      <c r="A19" s="89" t="s">
        <v>49</v>
      </c>
      <c r="B19" s="91" t="s">
        <v>50</v>
      </c>
      <c r="C19" s="197">
        <f>'[1]справка №1-БАЛАНС'!C18</f>
        <v>123</v>
      </c>
      <c r="D19" s="196">
        <f>'[1]справка №1-БАЛАНС'!D18</f>
        <v>136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17060</v>
      </c>
      <c r="D20" s="598">
        <f>SUM(D12:D19)</f>
        <v>16261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f>'[2]BS_KPMG'!$I$32</f>
        <v>-309</v>
      </c>
      <c r="H21" s="196">
        <f>'[3]BS_KPMG'!$I$32</f>
        <v>-219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10774</v>
      </c>
      <c r="H22" s="614">
        <f>SUM(H23:H25)</f>
        <v>10774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'[2]BS_KPMG'!W$28</f>
        <v>10774</v>
      </c>
      <c r="H23" s="196">
        <f>'[2]BS_KPMG'!X$28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'[1]справка №1-БАЛАНС'!C24</f>
        <v>4781</v>
      </c>
      <c r="D25" s="196">
        <f>'[1]справка №1-БАЛАНС'!D24</f>
        <v>4987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'[1]справка №1-БАЛАНС'!C25</f>
        <v>4</v>
      </c>
      <c r="D26" s="196">
        <f>'[1]справка №1-БАЛАНС'!D25</f>
        <v>35</v>
      </c>
      <c r="E26" s="484" t="s">
        <v>77</v>
      </c>
      <c r="F26" s="95" t="s">
        <v>78</v>
      </c>
      <c r="G26" s="597">
        <f>G20+G21+G22</f>
        <v>10465</v>
      </c>
      <c r="H26" s="598">
        <f>H20+H21+H22</f>
        <v>10555</v>
      </c>
      <c r="M26" s="98"/>
    </row>
    <row r="27" spans="1:8" ht="15.75">
      <c r="A27" s="89" t="s">
        <v>79</v>
      </c>
      <c r="B27" s="91" t="s">
        <v>80</v>
      </c>
      <c r="C27" s="197">
        <f>'[1]справка №1-БАЛАНС'!C26</f>
        <v>283892</v>
      </c>
      <c r="D27" s="196">
        <f>'[1]справка №1-БАЛАНС'!D26</f>
        <v>273994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288677</v>
      </c>
      <c r="D28" s="598">
        <f>SUM(D24:D27)</f>
        <v>279016</v>
      </c>
      <c r="E28" s="202" t="s">
        <v>84</v>
      </c>
      <c r="F28" s="93" t="s">
        <v>85</v>
      </c>
      <c r="G28" s="595">
        <f>SUM(G29:G31)</f>
        <v>160867</v>
      </c>
      <c r="H28" s="596">
        <f>SUM(H29:H31)</f>
        <v>138398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ROUND(-'[2]IAS'!$F$71/1000,0)-1</f>
        <v>160867</v>
      </c>
      <c r="H29" s="196">
        <f>ROUND(-'[3]IAS'!$F$71/1000,0)-1</f>
        <v>138398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25052</v>
      </c>
      <c r="H32" s="196">
        <v>22469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185919</v>
      </c>
      <c r="H34" s="598">
        <f>H28+H32+H33</f>
        <v>160867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'[2]BS_KPMG'!W$10</f>
        <v>5</v>
      </c>
      <c r="D36" s="196">
        <f>'[2]BS_KPMG'!X$10</f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205268</v>
      </c>
      <c r="H37" s="600">
        <f>H26+H18+H34</f>
        <v>180306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'[2]BS_KPMG'!W$34+'[2]BS_KPMG'!W$35</f>
        <v>28811</v>
      </c>
      <c r="H45" s="196">
        <f>'[2]BS_KPMG'!X$34+'[2]BS_KPMG'!X$35</f>
        <v>37262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'[2]BS_KPMG'!W$36+'[2]BS_KPMG'!W$37+'[2]BS_KPMG'!W$38</f>
        <v>12592</v>
      </c>
      <c r="H49" s="196">
        <f>'[2]BS_KPMG'!X$36+'[2]BS_KPMG'!X$37+'[2]BS_KPMG'!X$38</f>
        <v>13168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41403</v>
      </c>
      <c r="H50" s="596">
        <f>SUM(H44:H49)</f>
        <v>50430</v>
      </c>
    </row>
    <row r="51" spans="1:8" ht="15.75">
      <c r="A51" s="89" t="s">
        <v>79</v>
      </c>
      <c r="B51" s="91" t="s">
        <v>155</v>
      </c>
      <c r="C51" s="197">
        <f>'[2]BS_KPMG'!W$12</f>
        <v>290</v>
      </c>
      <c r="D51" s="196">
        <f>'[2]BS_KPMG'!X$12</f>
        <v>983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290</v>
      </c>
      <c r="D52" s="598">
        <f>SUM(D48:D51)</f>
        <v>983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'[2]BS_KPMG'!W$11</f>
        <v>6625</v>
      </c>
      <c r="D55" s="479">
        <f>'[2]BS_KPMG'!X$11</f>
        <v>6175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312657</v>
      </c>
      <c r="D56" s="602">
        <f>D20+D21+D22+D28+D33+D46+D52+D54+D55</f>
        <v>302440</v>
      </c>
      <c r="E56" s="100" t="s">
        <v>850</v>
      </c>
      <c r="F56" s="99" t="s">
        <v>172</v>
      </c>
      <c r="G56" s="599">
        <f>G50+G52+G53+G54+G55</f>
        <v>41403</v>
      </c>
      <c r="H56" s="600">
        <f>H50+H52+H53+H54+H55</f>
        <v>50430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'[2]BS_KPMG'!W$16</f>
        <v>1064</v>
      </c>
      <c r="D59" s="196">
        <f>'[2]BS_KPMG'!X$16</f>
        <v>1346</v>
      </c>
      <c r="E59" s="201" t="s">
        <v>180</v>
      </c>
      <c r="F59" s="486" t="s">
        <v>181</v>
      </c>
      <c r="G59" s="197">
        <f>ROUND('[2]BS_KPMG'!W$43+'[2]loans_short_long'!$G$39/1000,0)</f>
        <v>10099</v>
      </c>
      <c r="H59" s="196">
        <f>'[2]BS_KPMG'!X$43+'[3]loans_short_long'!$G$39/1000</f>
        <v>9941.594253022939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99613</v>
      </c>
      <c r="H61" s="596">
        <f>SUM(H62:H68)</f>
        <v>100959.37146509053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ROUND('[2]BS_KPMG'!W$46+'[2]loans_short_long'!$G$24/1000,0)</f>
        <v>76193</v>
      </c>
      <c r="H62" s="196">
        <f>'[2]BS_KPMG'!X$46+'[3]loans_short_long'!$G$24/1000</f>
        <v>76149.37146509053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ROUND('[2]NoteBS'!$E$54+'[2]NoteBS'!$E$55+'[2]NoteBS'!$E$57+'[2]NoteBS'!$E$58+'[2]NoteBS'!$E$75,0)</f>
        <v>18219</v>
      </c>
      <c r="H64" s="196">
        <f>ROUND('[3]NoteBS'!$E$54+'[3]NoteBS'!$E$55+'[3]NoteBS'!$E$57+'[3]NoteBS'!$E$58+'[3]NoteBS'!$E$73,0)-21</f>
        <v>20021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1064</v>
      </c>
      <c r="D65" s="598">
        <f>SUM(D59:D64)</f>
        <v>1346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ROUND('[2]NoteBS'!$E$56,0)</f>
        <v>3833</v>
      </c>
      <c r="H66" s="196">
        <f>ROUND('[3]NoteBS'!$E$56,0)</f>
        <v>3539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ROUND('[2]NoteBS'!$E$61,0)</f>
        <v>644</v>
      </c>
      <c r="H67" s="196">
        <f>ROUND('[3]NoteBS'!$E$61,0)</f>
        <v>590</v>
      </c>
    </row>
    <row r="68" spans="1:8" ht="15.75">
      <c r="A68" s="89" t="s">
        <v>206</v>
      </c>
      <c r="B68" s="91" t="s">
        <v>207</v>
      </c>
      <c r="C68" s="197">
        <f>'[2]BS_KPMG'!W$19</f>
        <v>69</v>
      </c>
      <c r="D68" s="196">
        <f>'[2]BS_KPMG'!X$19</f>
        <v>62</v>
      </c>
      <c r="E68" s="89" t="s">
        <v>212</v>
      </c>
      <c r="F68" s="93" t="s">
        <v>213</v>
      </c>
      <c r="G68" s="197">
        <f>ROUND('[2]BS_KPMG'!W$45+'[2]NoteBS'!$E$65,0)</f>
        <v>724</v>
      </c>
      <c r="H68" s="196">
        <f>'[2]BS_KPMG'!X$45</f>
        <v>660</v>
      </c>
    </row>
    <row r="69" spans="1:8" ht="15.75">
      <c r="A69" s="89" t="s">
        <v>210</v>
      </c>
      <c r="B69" s="91" t="s">
        <v>211</v>
      </c>
      <c r="C69" s="197">
        <f>'[2]BS_KPMG'!W$17</f>
        <v>35251</v>
      </c>
      <c r="D69" s="196">
        <f>'[2]BS_KPMG'!X$17</f>
        <v>32867</v>
      </c>
      <c r="E69" s="201" t="s">
        <v>79</v>
      </c>
      <c r="F69" s="93" t="s">
        <v>216</v>
      </c>
      <c r="G69" s="197">
        <f>ROUND('[2]NoteBS'!$E$62+'[2]NoteBS'!$E$63+'[2]BS_KPMG'!$W$44,0)-1</f>
        <v>6401</v>
      </c>
      <c r="H69" s="196">
        <f>'[3]NoteBS'!$E$63+'[3]BS_KPMG'!$I$48+'[2]BS_KPMG'!$X$44</f>
        <v>5454.11767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ROUND('[2]BS_KPMG'!W$48+'[2]BS_KPMG'!$W$49,0)</f>
        <v>3552</v>
      </c>
      <c r="H70" s="196">
        <f>'[2]BS_KPMG'!$X$48+'[2]BS_KPMG'!$X$49</f>
        <v>6442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119665</v>
      </c>
      <c r="H71" s="598">
        <f>H59+H60+H61+H69+H70</f>
        <v>122797.08338811347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'[2]BS_KPMG'!W$18</f>
        <v>76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35396</v>
      </c>
      <c r="D76" s="598">
        <f>SUM(D68:D75)</f>
        <v>32929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119665</v>
      </c>
      <c r="H79" s="600">
        <f>H71+H73+H75+H77</f>
        <v>122797.08338811347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'[2]NoteBS'!$E$40</f>
        <v>39</v>
      </c>
      <c r="D88" s="196">
        <f>'[3]NoteBS'!$E$40</f>
        <v>77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'[2]BS_KPMG'!W$20-C88</f>
        <v>17180</v>
      </c>
      <c r="D89" s="196">
        <f>'[2]BS_KPMG'!X$20-D88</f>
        <v>16741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17219</v>
      </c>
      <c r="D92" s="598">
        <f>SUM(D88:D91)</f>
        <v>16818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53679</v>
      </c>
      <c r="D94" s="602">
        <f>D65+D76+D85+D92+D93</f>
        <v>51093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366336</v>
      </c>
      <c r="D95" s="604">
        <f>D94+D56</f>
        <v>353533</v>
      </c>
      <c r="E95" s="229" t="s">
        <v>942</v>
      </c>
      <c r="F95" s="489" t="s">
        <v>268</v>
      </c>
      <c r="G95" s="603">
        <f>G37+G40+G56+G79</f>
        <v>366336</v>
      </c>
      <c r="H95" s="604">
        <f>H37+H40+H56+H79</f>
        <v>353533.0833881135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Анелия Илиева Илиева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39" sqref="C39: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-'[2]PL_KPMG'!AK10</f>
        <v>8763</v>
      </c>
      <c r="D12" s="317">
        <f>-'[2]PL_KPMG'!AL10</f>
        <v>8738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-'[2]PL_KPMG'!AK11</f>
        <v>25806</v>
      </c>
      <c r="D13" s="317">
        <f>-'[2]PL_KPMG'!AL11</f>
        <v>25303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-'[2]PL_KPMG'!AK12</f>
        <v>32038</v>
      </c>
      <c r="D14" s="317">
        <f>-'[2]PL_KPMG'!AL12</f>
        <v>28907</v>
      </c>
      <c r="E14" s="245" t="s">
        <v>285</v>
      </c>
      <c r="F14" s="240" t="s">
        <v>286</v>
      </c>
      <c r="G14" s="316">
        <f>'[2]PL_KPMG'!AK$5+'[2]PL_KPMG'!AK$6</f>
        <v>132165</v>
      </c>
      <c r="H14" s="317">
        <f>'[2]PL_KPMG'!AL$5+'[2]PL_KPMG'!AL$6</f>
        <v>126728</v>
      </c>
    </row>
    <row r="15" spans="1:8" ht="15.75">
      <c r="A15" s="194" t="s">
        <v>287</v>
      </c>
      <c r="B15" s="190" t="s">
        <v>288</v>
      </c>
      <c r="C15" s="316">
        <f>-'[2]PL_KPMG'!AK13</f>
        <v>18069</v>
      </c>
      <c r="D15" s="317">
        <f>-'[2]PL_KPMG'!AL13</f>
        <v>16900</v>
      </c>
      <c r="E15" s="245" t="s">
        <v>79</v>
      </c>
      <c r="F15" s="240" t="s">
        <v>289</v>
      </c>
      <c r="G15" s="316">
        <f>'[2]PL_KPMG'!AK$7</f>
        <v>37907</v>
      </c>
      <c r="H15" s="317">
        <f>'[2]PL_KPMG'!AL$7</f>
        <v>30797</v>
      </c>
    </row>
    <row r="16" spans="1:8" ht="15.75">
      <c r="A16" s="194" t="s">
        <v>290</v>
      </c>
      <c r="B16" s="190" t="s">
        <v>291</v>
      </c>
      <c r="C16" s="316">
        <f>-'[2]PL_KPMG'!AK14</f>
        <v>4533</v>
      </c>
      <c r="D16" s="317">
        <f>-'[2]PL_KPMG'!AL14</f>
        <v>4399</v>
      </c>
      <c r="E16" s="236" t="s">
        <v>52</v>
      </c>
      <c r="F16" s="264" t="s">
        <v>292</v>
      </c>
      <c r="G16" s="628">
        <f>SUM(G12:G15)</f>
        <v>170072</v>
      </c>
      <c r="H16" s="629">
        <f>SUM(H12:H15)</f>
        <v>157525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-SUM('[2]PL_KPMG'!AK$15:AK$17)</f>
        <v>47414</v>
      </c>
      <c r="D19" s="317">
        <f>-SUM('[2]PL_KPMG'!AL$15:AL$17)</f>
        <v>41878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-'[2]PL_KPMG'!AK$15</f>
        <v>8208</v>
      </c>
      <c r="D20" s="317">
        <f>-'[2]PL_KPMG'!AL$15</f>
        <v>8098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'[2]PL_KPMG'!AP$14</f>
        <v>-2359</v>
      </c>
      <c r="D21" s="317">
        <f>'[2]PL_KPMG'!AQ$14</f>
        <v>252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136623</v>
      </c>
      <c r="D22" s="629">
        <f>SUM(D12:D18)+D19</f>
        <v>126125</v>
      </c>
      <c r="E22" s="194" t="s">
        <v>309</v>
      </c>
      <c r="F22" s="237" t="s">
        <v>310</v>
      </c>
      <c r="G22" s="316">
        <f>ROUND('[2]NoteP&amp;L'!$C$75/1000,0)</f>
        <v>23</v>
      </c>
      <c r="H22" s="317">
        <f>ROUND('[3]NoteP&amp;L'!$C$75/1000,0)</f>
        <v>19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-ROUND(SUM('[2]NoteP&amp;L'!$C$82:$C$86)/1000,0)</f>
        <v>5175</v>
      </c>
      <c r="D25" s="317">
        <f>-ROUND(SUM('[3]NoteP&amp;L'!$C$82:$C$86)/1000,0)</f>
        <v>5643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ROUND('[2]NoteP&amp;L'!$C$77/1000,0)</f>
        <v>51</v>
      </c>
      <c r="H26" s="317">
        <f>ROUND('[3]NoteP&amp;L'!$C$77/1000,0)</f>
        <v>36</v>
      </c>
    </row>
    <row r="27" spans="1:8" ht="31.5">
      <c r="A27" s="194" t="s">
        <v>324</v>
      </c>
      <c r="B27" s="237" t="s">
        <v>325</v>
      </c>
      <c r="C27" s="316">
        <f>-ROUND('[2]NoteP&amp;L'!$C$90/1000,0)</f>
        <v>43</v>
      </c>
      <c r="D27" s="317">
        <f>-ROUND('[3]NoteP&amp;L'!$C$90/1000,0)</f>
        <v>82</v>
      </c>
      <c r="E27" s="236" t="s">
        <v>104</v>
      </c>
      <c r="F27" s="238" t="s">
        <v>326</v>
      </c>
      <c r="G27" s="628">
        <f>SUM(G22:G26)</f>
        <v>74</v>
      </c>
      <c r="H27" s="629">
        <f>SUM(H22:H26)</f>
        <v>55</v>
      </c>
    </row>
    <row r="28" spans="1:8" ht="15.75">
      <c r="A28" s="194" t="s">
        <v>79</v>
      </c>
      <c r="B28" s="237" t="s">
        <v>327</v>
      </c>
      <c r="C28" s="316">
        <f>-ROUND(('[2]NoteP&amp;L'!$C$87+'[2]NoteP&amp;L'!$C$88+'[2]NoteP&amp;L'!$C$89)/1000,0)-1</f>
        <v>332</v>
      </c>
      <c r="D28" s="317">
        <f>-ROUND(SUM('[3]NoteP&amp;L'!$C$87:$C$89)/1000,0)</f>
        <v>673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5550</v>
      </c>
      <c r="D29" s="629">
        <f>SUM(D25:D28)</f>
        <v>6398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142173</v>
      </c>
      <c r="D31" s="635">
        <f>D29+D22</f>
        <v>132523</v>
      </c>
      <c r="E31" s="251" t="s">
        <v>824</v>
      </c>
      <c r="F31" s="266" t="s">
        <v>331</v>
      </c>
      <c r="G31" s="253">
        <f>G16+G18+G27</f>
        <v>170146</v>
      </c>
      <c r="H31" s="254">
        <f>H16+H18+H27</f>
        <v>157580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27973</v>
      </c>
      <c r="D33" s="244">
        <f>IF((H31-D31)&gt;0,H31-D31,0)</f>
        <v>25057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142173</v>
      </c>
      <c r="D36" s="637">
        <f>D31-D34+D35</f>
        <v>132523</v>
      </c>
      <c r="E36" s="262" t="s">
        <v>346</v>
      </c>
      <c r="F36" s="256" t="s">
        <v>347</v>
      </c>
      <c r="G36" s="267">
        <f>G35-G34+G31</f>
        <v>170146</v>
      </c>
      <c r="H36" s="268">
        <f>H35-H34+H31</f>
        <v>157580</v>
      </c>
    </row>
    <row r="37" spans="1:8" ht="15.75">
      <c r="A37" s="261" t="s">
        <v>348</v>
      </c>
      <c r="B37" s="231" t="s">
        <v>349</v>
      </c>
      <c r="C37" s="634">
        <f>IF((G36-C36)&gt;0,G36-C36,0)</f>
        <v>27973</v>
      </c>
      <c r="D37" s="635">
        <f>IF((H36-D36)&gt;0,H36-D36,0)</f>
        <v>25057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2920.996410814074</v>
      </c>
      <c r="D38" s="629">
        <f>D39+D40+D41</f>
        <v>2587.924947584016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'[2]IAS'!$F$113/1000</f>
        <v>3370.987867500024</v>
      </c>
      <c r="D39" s="317">
        <f>'[3]IAS'!$F$113/1000</f>
        <v>2921.0546622699344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'[2]IAS'!$F$115/1000</f>
        <v>-449.99145668595</v>
      </c>
      <c r="D40" s="317">
        <f>'[3]IAS'!$F$115/1000</f>
        <v>-333.1297146859181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25052.003589185926</v>
      </c>
      <c r="D42" s="244">
        <f>+IF((H36-D36-D38)&gt;0,H36-D36-D38,0)</f>
        <v>22469.075052415985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25052.003589185926</v>
      </c>
      <c r="D44" s="268">
        <f>IF(H42=0,IF(D42-D43&gt;0,D42-D43+H43,0),IF(H42-H43&lt;0,H43-H42+D42,0))</f>
        <v>22469.075052415985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170146</v>
      </c>
      <c r="D45" s="631">
        <f>D36+D38+D42</f>
        <v>157580</v>
      </c>
      <c r="E45" s="270" t="s">
        <v>373</v>
      </c>
      <c r="F45" s="272" t="s">
        <v>374</v>
      </c>
      <c r="G45" s="630">
        <f>G42+G36</f>
        <v>170146</v>
      </c>
      <c r="H45" s="631">
        <f>H42+H36</f>
        <v>157580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Анелия Илиева Илиева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'1-Баланс'!B103:E103</f>
        <v>Арно Филип Франсоа Валто де Мулиак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ROUND('[4]Cash Flow LBE 2016'!$O$12,0)</f>
        <v>149752</v>
      </c>
      <c r="D11" s="196">
        <f>ROUND('[4]Cash Flow LBE 2016'!$Q$12,0)</f>
        <v>142816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ROUND('[4]Cash Flow LBE 2016'!$O$14,0)</f>
        <v>-25345</v>
      </c>
      <c r="D14" s="196">
        <f>ROUND('[4]Cash Flow LBE 2016'!$Q$14,0)</f>
        <v>-25085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ROUND('[4]Cash Flow LBE 2016'!$O$37+'[4]Cash Flow LBE 2016'!$O$38,0)</f>
        <v>-12103</v>
      </c>
      <c r="D15" s="196">
        <f>ROUND('[4]Cash Flow LBE 2016'!$Q$37+'[4]Cash Flow LBE 2016'!$Q$38,0)</f>
        <v>-13186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ROUND('[4]Cash Flow LBE 2016'!$O$36,0)</f>
        <v>-3749</v>
      </c>
      <c r="D16" s="196">
        <f>ROUND('[4]Cash Flow LBE 2016'!$Q$36,0)</f>
        <v>-1840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ROUND(SUM('[4]Cash Flow LBE 2016'!$O$15:$O$22)+'[4]Cash Flow LBE 2016'!$O$30,0)</f>
        <v>-52265</v>
      </c>
      <c r="D20" s="196">
        <f>ROUND(SUM('[4]Cash Flow LBE 2016'!$Q$15:$Q$22)+'[4]Cash Flow LBE 2016'!$Q$30,0)-1</f>
        <v>-50882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56290</v>
      </c>
      <c r="D21" s="659">
        <f>SUM(D11:D20)</f>
        <v>51823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ROUND('[4]Cash Flow LBE 2016'!$O$34,0)</f>
        <v>-40541</v>
      </c>
      <c r="D23" s="196">
        <f>ROUND('[4]Cash Flow LBE 2016'!$Q$34,0)</f>
        <v>-31755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-40541</v>
      </c>
      <c r="D33" s="659">
        <f>SUM(D23:D32)</f>
        <v>-31755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ROUND('[4]Cash Flow LBE 2016'!$O$47,0)</f>
        <v>-9063</v>
      </c>
      <c r="D38" s="196">
        <f>ROUND('[4]Cash Flow LBE 2016'!$Q$47,0)</f>
        <v>-9063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ROUND('[4]Cash Flow LBE 2016'!$O$44,0)</f>
        <v>-1701</v>
      </c>
      <c r="D39" s="196">
        <f>ROUND('[4]Cash Flow LBE 2016'!$Q$44,0)</f>
        <v>-1547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ROUND('[4]Cash Flow LBE 2016'!$O$41+'[4]Cash Flow LBE 2016'!$O$42,0)</f>
        <v>-4735</v>
      </c>
      <c r="D40" s="196">
        <f>ROUND('[4]Cash Flow LBE 2016'!$Q$41+'[4]Cash Flow LBE 2016'!$Q$42,0)</f>
        <v>-5123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ROUND('[4]Cash Flow LBE 2016'!$O$43,0)</f>
        <v>151</v>
      </c>
      <c r="D42" s="196">
        <f>ROUND('[4]Cash Flow LBE 2016'!$Q$43,0)</f>
        <v>101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-15348</v>
      </c>
      <c r="D43" s="661">
        <f>SUM(D35:D42)</f>
        <v>-15632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401</v>
      </c>
      <c r="D44" s="307">
        <f>D43+D33+D21</f>
        <v>4436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'[5]Cash Flow LBE 2016'!$O$51</f>
        <v>16818.206090580003</v>
      </c>
      <c r="D45" s="309">
        <f>'[5]Cash Flow LBE 2016'!$Q$51</f>
        <v>12381.973175999992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17219.206090580003</v>
      </c>
      <c r="D46" s="311">
        <f>D45+D44</f>
        <v>16817.973175999992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17219.206090580003</v>
      </c>
      <c r="D47" s="298">
        <f>D46</f>
        <v>16817.973175999992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225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Анелия Илиева Илиева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tr">
        <f>'2-Отчет за доходите'!B55:E55</f>
        <v>Арно Филип Франсоа Валто де Мулиак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28" sqref="E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8884</v>
      </c>
      <c r="D13" s="584">
        <f>'1-Баланс'!H20</f>
        <v>0</v>
      </c>
      <c r="E13" s="584">
        <f>'1-Баланс'!H21</f>
        <v>-219</v>
      </c>
      <c r="F13" s="584">
        <f>'1-Баланс'!H23</f>
        <v>10774</v>
      </c>
      <c r="G13" s="584">
        <f>'1-Баланс'!H24</f>
        <v>0</v>
      </c>
      <c r="H13" s="585"/>
      <c r="I13" s="584">
        <f>'1-Баланс'!H29+'1-Баланс'!H32</f>
        <v>160867</v>
      </c>
      <c r="J13" s="584">
        <f>'1-Баланс'!H30+'1-Баланс'!H33</f>
        <v>0</v>
      </c>
      <c r="K13" s="585"/>
      <c r="L13" s="584">
        <f>SUM(C13:K13)</f>
        <v>180306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8884</v>
      </c>
      <c r="D17" s="653">
        <f aca="true" t="shared" si="2" ref="D17:M17">D13+D14</f>
        <v>0</v>
      </c>
      <c r="E17" s="653">
        <f t="shared" si="2"/>
        <v>-219</v>
      </c>
      <c r="F17" s="653">
        <f t="shared" si="2"/>
        <v>10774</v>
      </c>
      <c r="G17" s="653">
        <f t="shared" si="2"/>
        <v>0</v>
      </c>
      <c r="H17" s="653">
        <f t="shared" si="2"/>
        <v>0</v>
      </c>
      <c r="I17" s="653">
        <f t="shared" si="2"/>
        <v>160867</v>
      </c>
      <c r="J17" s="653">
        <f t="shared" si="2"/>
        <v>0</v>
      </c>
      <c r="K17" s="653">
        <f t="shared" si="2"/>
        <v>0</v>
      </c>
      <c r="L17" s="584">
        <f t="shared" si="1"/>
        <v>180306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25052</v>
      </c>
      <c r="J18" s="584">
        <f>+'1-Баланс'!G33</f>
        <v>0</v>
      </c>
      <c r="K18" s="585"/>
      <c r="L18" s="584">
        <f t="shared" si="1"/>
        <v>25052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-90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-90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-90</v>
      </c>
      <c r="F27" s="316"/>
      <c r="G27" s="316"/>
      <c r="H27" s="316"/>
      <c r="I27" s="316"/>
      <c r="J27" s="316"/>
      <c r="K27" s="316"/>
      <c r="L27" s="584">
        <f t="shared" si="1"/>
        <v>-90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8884</v>
      </c>
      <c r="D31" s="653">
        <f aca="true" t="shared" si="6" ref="D31:M31">D19+D22+D23+D26+D30+D29+D17+D18</f>
        <v>0</v>
      </c>
      <c r="E31" s="653">
        <f t="shared" si="6"/>
        <v>-309</v>
      </c>
      <c r="F31" s="653">
        <f t="shared" si="6"/>
        <v>10774</v>
      </c>
      <c r="G31" s="653">
        <f t="shared" si="6"/>
        <v>0</v>
      </c>
      <c r="H31" s="653">
        <f t="shared" si="6"/>
        <v>0</v>
      </c>
      <c r="I31" s="653">
        <f t="shared" si="6"/>
        <v>185919</v>
      </c>
      <c r="J31" s="653">
        <f t="shared" si="6"/>
        <v>0</v>
      </c>
      <c r="K31" s="653">
        <f t="shared" si="6"/>
        <v>0</v>
      </c>
      <c r="L31" s="584">
        <f t="shared" si="1"/>
        <v>205268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8884</v>
      </c>
      <c r="D34" s="587">
        <f t="shared" si="7"/>
        <v>0</v>
      </c>
      <c r="E34" s="587">
        <f t="shared" si="7"/>
        <v>-309</v>
      </c>
      <c r="F34" s="587">
        <f t="shared" si="7"/>
        <v>10774</v>
      </c>
      <c r="G34" s="587">
        <f t="shared" si="7"/>
        <v>0</v>
      </c>
      <c r="H34" s="587">
        <f t="shared" si="7"/>
        <v>0</v>
      </c>
      <c r="I34" s="587">
        <f t="shared" si="7"/>
        <v>185919</v>
      </c>
      <c r="J34" s="587">
        <f t="shared" si="7"/>
        <v>0</v>
      </c>
      <c r="K34" s="587">
        <f t="shared" si="7"/>
        <v>0</v>
      </c>
      <c r="L34" s="651">
        <f t="shared" si="1"/>
        <v>205268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Анелия Илиева Илиева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tr">
        <f>'3-Отчет за паричния поток'!B59:E59</f>
        <v>Арно Филип Франсоа Валто де Мулиак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 t="s">
        <v>109</v>
      </c>
      <c r="C12" s="92">
        <v>5</v>
      </c>
      <c r="D12" s="92" t="s">
        <v>1001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Анелия Илиева Илиева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tr">
        <f>'4-Отчет за собствения капитал'!B43:E43</f>
        <v>Арно Филип Франсоа Валто де Мулиак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31">
      <selection activeCell="R41" sqref="R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185</v>
      </c>
      <c r="E11" s="328">
        <v>0</v>
      </c>
      <c r="F11" s="328">
        <v>0</v>
      </c>
      <c r="G11" s="329">
        <f>D11+E11-F11</f>
        <v>185</v>
      </c>
      <c r="H11" s="328"/>
      <c r="I11" s="328"/>
      <c r="J11" s="329">
        <f>G11+H11-I11</f>
        <v>185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525</v>
      </c>
      <c r="E12" s="328">
        <v>0</v>
      </c>
      <c r="F12" s="328">
        <v>0</v>
      </c>
      <c r="G12" s="329">
        <f aca="true" t="shared" si="2" ref="G12:G41">D12+E12-F12</f>
        <v>525</v>
      </c>
      <c r="H12" s="328"/>
      <c r="I12" s="328"/>
      <c r="J12" s="329">
        <f aca="true" t="shared" si="3" ref="J12:J41">G12+H12-I12</f>
        <v>525</v>
      </c>
      <c r="K12" s="328">
        <v>175</v>
      </c>
      <c r="L12" s="328">
        <v>20</v>
      </c>
      <c r="M12" s="328">
        <v>0</v>
      </c>
      <c r="N12" s="329">
        <f aca="true" t="shared" si="4" ref="N12:N41">K12+L12-M12</f>
        <v>195</v>
      </c>
      <c r="O12" s="328"/>
      <c r="P12" s="328"/>
      <c r="Q12" s="329">
        <f t="shared" si="0"/>
        <v>195</v>
      </c>
      <c r="R12" s="340">
        <f t="shared" si="1"/>
        <v>330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27731</v>
      </c>
      <c r="E13" s="328">
        <v>2208</v>
      </c>
      <c r="F13" s="328">
        <v>273</v>
      </c>
      <c r="G13" s="329">
        <f t="shared" si="2"/>
        <v>29666</v>
      </c>
      <c r="H13" s="328"/>
      <c r="I13" s="328"/>
      <c r="J13" s="329">
        <f t="shared" si="3"/>
        <v>29666</v>
      </c>
      <c r="K13" s="328">
        <v>17289</v>
      </c>
      <c r="L13" s="328">
        <v>2227</v>
      </c>
      <c r="M13" s="328">
        <v>259</v>
      </c>
      <c r="N13" s="329">
        <f t="shared" si="4"/>
        <v>19257</v>
      </c>
      <c r="O13" s="328"/>
      <c r="P13" s="328"/>
      <c r="Q13" s="329">
        <f t="shared" si="0"/>
        <v>19257</v>
      </c>
      <c r="R13" s="340">
        <f t="shared" si="1"/>
        <v>10409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13831</v>
      </c>
      <c r="E15" s="328">
        <v>1948</v>
      </c>
      <c r="F15" s="328">
        <v>834</v>
      </c>
      <c r="G15" s="329">
        <f t="shared" si="2"/>
        <v>14945</v>
      </c>
      <c r="H15" s="328"/>
      <c r="I15" s="328"/>
      <c r="J15" s="329">
        <f t="shared" si="3"/>
        <v>14945</v>
      </c>
      <c r="K15" s="328">
        <v>8683</v>
      </c>
      <c r="L15" s="328">
        <v>1057</v>
      </c>
      <c r="M15" s="328">
        <v>808</v>
      </c>
      <c r="N15" s="329">
        <f t="shared" si="4"/>
        <v>8932</v>
      </c>
      <c r="O15" s="328"/>
      <c r="P15" s="328"/>
      <c r="Q15" s="329">
        <f t="shared" si="0"/>
        <v>8932</v>
      </c>
      <c r="R15" s="340">
        <f t="shared" si="1"/>
        <v>6013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1170</v>
      </c>
      <c r="E18" s="328">
        <v>15</v>
      </c>
      <c r="F18" s="328">
        <v>0</v>
      </c>
      <c r="G18" s="329">
        <f t="shared" si="2"/>
        <v>1185</v>
      </c>
      <c r="H18" s="328"/>
      <c r="I18" s="328"/>
      <c r="J18" s="329">
        <f t="shared" si="3"/>
        <v>1185</v>
      </c>
      <c r="K18" s="328">
        <v>1034</v>
      </c>
      <c r="L18" s="328">
        <v>28</v>
      </c>
      <c r="M18" s="328">
        <v>0</v>
      </c>
      <c r="N18" s="329">
        <f t="shared" si="4"/>
        <v>1062</v>
      </c>
      <c r="O18" s="328"/>
      <c r="P18" s="328"/>
      <c r="Q18" s="329">
        <f t="shared" si="0"/>
        <v>1062</v>
      </c>
      <c r="R18" s="340">
        <f t="shared" si="1"/>
        <v>123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43442</v>
      </c>
      <c r="E19" s="330">
        <f>SUM(E11:E18)</f>
        <v>4171</v>
      </c>
      <c r="F19" s="330">
        <f>SUM(F11:F18)</f>
        <v>1107</v>
      </c>
      <c r="G19" s="329">
        <f t="shared" si="2"/>
        <v>46506</v>
      </c>
      <c r="H19" s="330">
        <f>SUM(H11:H18)</f>
        <v>0</v>
      </c>
      <c r="I19" s="330">
        <f>SUM(I11:I18)</f>
        <v>0</v>
      </c>
      <c r="J19" s="329">
        <f t="shared" si="3"/>
        <v>46506</v>
      </c>
      <c r="K19" s="330">
        <f>SUM(K11:K18)</f>
        <v>27181</v>
      </c>
      <c r="L19" s="330">
        <f>SUM(L11:L18)</f>
        <v>3332</v>
      </c>
      <c r="M19" s="330">
        <f>SUM(M11:M18)</f>
        <v>1067</v>
      </c>
      <c r="N19" s="329">
        <f t="shared" si="4"/>
        <v>29446</v>
      </c>
      <c r="O19" s="330">
        <f>SUM(O11:O18)</f>
        <v>0</v>
      </c>
      <c r="P19" s="330">
        <f>SUM(P11:P18)</f>
        <v>0</v>
      </c>
      <c r="Q19" s="329">
        <f t="shared" si="0"/>
        <v>29446</v>
      </c>
      <c r="R19" s="340">
        <f t="shared" si="1"/>
        <v>17060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19621</v>
      </c>
      <c r="E24" s="328">
        <v>461</v>
      </c>
      <c r="F24" s="328"/>
      <c r="G24" s="329">
        <f t="shared" si="2"/>
        <v>20082</v>
      </c>
      <c r="H24" s="328"/>
      <c r="I24" s="328"/>
      <c r="J24" s="329">
        <f t="shared" si="3"/>
        <v>20082</v>
      </c>
      <c r="K24" s="328">
        <v>14635</v>
      </c>
      <c r="L24" s="328">
        <v>666</v>
      </c>
      <c r="M24" s="328"/>
      <c r="N24" s="329">
        <f t="shared" si="4"/>
        <v>15301</v>
      </c>
      <c r="O24" s="328"/>
      <c r="P24" s="328"/>
      <c r="Q24" s="329">
        <f t="shared" si="0"/>
        <v>15301</v>
      </c>
      <c r="R24" s="340">
        <f t="shared" si="1"/>
        <v>4781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21041</v>
      </c>
      <c r="E25" s="328"/>
      <c r="F25" s="328"/>
      <c r="G25" s="329">
        <f t="shared" si="2"/>
        <v>21041</v>
      </c>
      <c r="H25" s="328"/>
      <c r="I25" s="328"/>
      <c r="J25" s="329">
        <f t="shared" si="3"/>
        <v>21041</v>
      </c>
      <c r="K25" s="328">
        <v>21006</v>
      </c>
      <c r="L25" s="328">
        <v>31</v>
      </c>
      <c r="M25" s="328"/>
      <c r="N25" s="329">
        <f t="shared" si="4"/>
        <v>21037</v>
      </c>
      <c r="O25" s="328"/>
      <c r="P25" s="328"/>
      <c r="Q25" s="329">
        <f t="shared" si="0"/>
        <v>21037</v>
      </c>
      <c r="R25" s="340">
        <f t="shared" si="1"/>
        <v>4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424962</v>
      </c>
      <c r="E26" s="328">
        <v>79762</v>
      </c>
      <c r="F26" s="328">
        <v>41854</v>
      </c>
      <c r="G26" s="329">
        <f t="shared" si="2"/>
        <v>462870</v>
      </c>
      <c r="H26" s="328"/>
      <c r="I26" s="328"/>
      <c r="J26" s="329">
        <f t="shared" si="3"/>
        <v>462870</v>
      </c>
      <c r="K26" s="328">
        <v>150969</v>
      </c>
      <c r="L26" s="328">
        <v>28009</v>
      </c>
      <c r="M26" s="328"/>
      <c r="N26" s="329">
        <f t="shared" si="4"/>
        <v>178978</v>
      </c>
      <c r="O26" s="328"/>
      <c r="P26" s="328"/>
      <c r="Q26" s="329">
        <f t="shared" si="0"/>
        <v>178978</v>
      </c>
      <c r="R26" s="340">
        <f t="shared" si="1"/>
        <v>283892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465624</v>
      </c>
      <c r="E27" s="332">
        <f aca="true" t="shared" si="5" ref="E27:P27">SUM(E23:E26)</f>
        <v>80223</v>
      </c>
      <c r="F27" s="332">
        <f t="shared" si="5"/>
        <v>41854</v>
      </c>
      <c r="G27" s="333">
        <f t="shared" si="2"/>
        <v>503993</v>
      </c>
      <c r="H27" s="332">
        <f t="shared" si="5"/>
        <v>0</v>
      </c>
      <c r="I27" s="332">
        <f t="shared" si="5"/>
        <v>0</v>
      </c>
      <c r="J27" s="333">
        <f t="shared" si="3"/>
        <v>503993</v>
      </c>
      <c r="K27" s="332">
        <f t="shared" si="5"/>
        <v>186610</v>
      </c>
      <c r="L27" s="332">
        <f t="shared" si="5"/>
        <v>28706</v>
      </c>
      <c r="M27" s="332">
        <f t="shared" si="5"/>
        <v>0</v>
      </c>
      <c r="N27" s="333">
        <f t="shared" si="4"/>
        <v>215316</v>
      </c>
      <c r="O27" s="332">
        <f t="shared" si="5"/>
        <v>0</v>
      </c>
      <c r="P27" s="332">
        <f t="shared" si="5"/>
        <v>0</v>
      </c>
      <c r="Q27" s="333">
        <f t="shared" si="0"/>
        <v>215316</v>
      </c>
      <c r="R27" s="343">
        <f t="shared" si="1"/>
        <v>288677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3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7"/>
        <v>7393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516459</v>
      </c>
      <c r="E42" s="349">
        <f>E19+E20+E21+E27+E40+E41</f>
        <v>84394</v>
      </c>
      <c r="F42" s="349">
        <f aca="true" t="shared" si="11" ref="F42:R42">F19+F20+F21+F27+F40+F41</f>
        <v>42961</v>
      </c>
      <c r="G42" s="349">
        <f t="shared" si="11"/>
        <v>557892</v>
      </c>
      <c r="H42" s="349">
        <f t="shared" si="11"/>
        <v>0</v>
      </c>
      <c r="I42" s="349">
        <f t="shared" si="11"/>
        <v>0</v>
      </c>
      <c r="J42" s="349">
        <f t="shared" si="11"/>
        <v>557892</v>
      </c>
      <c r="K42" s="349">
        <f t="shared" si="11"/>
        <v>221184</v>
      </c>
      <c r="L42" s="349">
        <f t="shared" si="11"/>
        <v>32038</v>
      </c>
      <c r="M42" s="349">
        <f t="shared" si="11"/>
        <v>1067</v>
      </c>
      <c r="N42" s="349">
        <f t="shared" si="11"/>
        <v>252155</v>
      </c>
      <c r="O42" s="349">
        <f t="shared" si="11"/>
        <v>0</v>
      </c>
      <c r="P42" s="349">
        <f t="shared" si="11"/>
        <v>0</v>
      </c>
      <c r="Q42" s="349">
        <f t="shared" si="11"/>
        <v>252155</v>
      </c>
      <c r="R42" s="350">
        <f t="shared" si="11"/>
        <v>305737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Анелия Илиева Илиева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tr">
        <f>'Справка 5'!B156</f>
        <v>Арно Филип Франсоа Валто де Мулиак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C104" sqref="C104:E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>
        <f>C16</f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290</v>
      </c>
      <c r="D18" s="362">
        <f>+D19+D20</f>
        <v>0</v>
      </c>
      <c r="E18" s="369">
        <f t="shared" si="0"/>
        <v>290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f>'1-Баланс'!C51</f>
        <v>290</v>
      </c>
      <c r="D20" s="368"/>
      <c r="E20" s="369">
        <f t="shared" si="0"/>
        <v>290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290</v>
      </c>
      <c r="D21" s="440">
        <f>D13+D17+D18</f>
        <v>0</v>
      </c>
      <c r="E21" s="441">
        <f>E13+E17+E18</f>
        <v>290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6625</v>
      </c>
      <c r="D23" s="443"/>
      <c r="E23" s="442">
        <f t="shared" si="0"/>
        <v>6625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69</v>
      </c>
      <c r="D26" s="362">
        <f>SUM(D27:D29)</f>
        <v>69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69</v>
      </c>
      <c r="D29" s="368">
        <f>C29</f>
        <v>69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35251</v>
      </c>
      <c r="D30" s="368">
        <f>C30</f>
        <v>35251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76</v>
      </c>
      <c r="D35" s="362">
        <f>SUM(D36:D39)</f>
        <v>76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76</v>
      </c>
      <c r="D37" s="368">
        <f>C37</f>
        <v>76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35396</v>
      </c>
      <c r="D45" s="438">
        <f>D26+D30+D31+D33+D32+D34+D35+D40</f>
        <v>35396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42311</v>
      </c>
      <c r="D46" s="444">
        <f>D45+D23+D21+D11</f>
        <v>35396</v>
      </c>
      <c r="E46" s="445">
        <f>E45+E23+E21+E11</f>
        <v>6915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35747</v>
      </c>
      <c r="D58" s="138">
        <f>D59+D61</f>
        <v>8816</v>
      </c>
      <c r="E58" s="136">
        <f t="shared" si="1"/>
        <v>26931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ROUND('[2]loans_short_long'!$G$43/1000,0)</f>
        <v>35747</v>
      </c>
      <c r="D59" s="197">
        <f>ROUND('[2]loans_short_long'!$G$39/1000,0)</f>
        <v>8816</v>
      </c>
      <c r="E59" s="136">
        <f t="shared" si="1"/>
        <v>26931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'1-Баланс'!G49+'[2]BS_KPMG'!$W$35+'[2]BS_KPMG'!$W$43-'[2]BS_KPMG'!$W$36</f>
        <v>14671</v>
      </c>
      <c r="D66" s="197">
        <f>D67</f>
        <v>1283</v>
      </c>
      <c r="E66" s="136">
        <f t="shared" si="1"/>
        <v>13388</v>
      </c>
      <c r="F66" s="196"/>
    </row>
    <row r="67" spans="1:6" ht="15.75">
      <c r="A67" s="370" t="s">
        <v>684</v>
      </c>
      <c r="B67" s="135" t="s">
        <v>685</v>
      </c>
      <c r="C67" s="197">
        <f>'[2]BS_KPMG'!$W$43+'[2]BS_KPMG'!$W$35</f>
        <v>3163</v>
      </c>
      <c r="D67" s="197">
        <f>'[2]BS_KPMG'!$W$43</f>
        <v>1283</v>
      </c>
      <c r="E67" s="136">
        <f t="shared" si="1"/>
        <v>1880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50418</v>
      </c>
      <c r="D68" s="435">
        <f>D54+D58+D63+D64+D65+D66</f>
        <v>10099</v>
      </c>
      <c r="E68" s="436">
        <f t="shared" si="1"/>
        <v>40319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76193</v>
      </c>
      <c r="D73" s="137">
        <f>SUM(D74:D76)</f>
        <v>76193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76193</v>
      </c>
      <c r="D76" s="197">
        <f>C76</f>
        <v>76193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23420</v>
      </c>
      <c r="D87" s="134">
        <f>SUM(D88:D92)+D96</f>
        <v>23420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18219</v>
      </c>
      <c r="D89" s="197">
        <f>C89</f>
        <v>18219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3833</v>
      </c>
      <c r="D91" s="197">
        <f>C91</f>
        <v>3833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724</v>
      </c>
      <c r="D92" s="138">
        <f>SUM(D93:D95)</f>
        <v>724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f>'1-Баланс'!G68</f>
        <v>724</v>
      </c>
      <c r="D93" s="197">
        <f>C93</f>
        <v>724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644</v>
      </c>
      <c r="D96" s="197">
        <f>C96</f>
        <v>644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6401</v>
      </c>
      <c r="D97" s="197">
        <f>C97</f>
        <v>6401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106014</v>
      </c>
      <c r="D98" s="433">
        <f>D87+D82+D77+D73+D97</f>
        <v>106014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156432</v>
      </c>
      <c r="D99" s="427">
        <f>D98+D70+D68</f>
        <v>116113</v>
      </c>
      <c r="E99" s="427">
        <f>E98+E70+E68</f>
        <v>40319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f>ROUND('[2]NoteBS'!$C$107,0)</f>
        <v>5973</v>
      </c>
      <c r="D104" s="216">
        <f>ROUND('[2]NoteBS'!$D$107,0)+1</f>
        <v>246</v>
      </c>
      <c r="E104" s="216">
        <f>ROUND(-'[2]NoteBS'!$E$107-'[2]NoteBS'!$F$107,0)</f>
        <v>3062</v>
      </c>
      <c r="F104" s="421">
        <f>C104+D104-E104</f>
        <v>3157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ROUND('[2]FInst, loans'!$C$195,0)</f>
        <v>1353</v>
      </c>
      <c r="D106" s="280">
        <f>ROUND('[2]FInst, loans'!$C$196+'[2]FInst, loans'!$C$197+'[2]FInst, loans'!$C$198,0)-1</f>
        <v>283</v>
      </c>
      <c r="E106" s="280">
        <f>ROUND(-'[2]FInst, loans'!$C$200,0)</f>
        <v>157</v>
      </c>
      <c r="F106" s="423">
        <f>C106+D106-E106</f>
        <v>1479</v>
      </c>
    </row>
    <row r="107" spans="1:6" ht="16.5" thickBot="1">
      <c r="A107" s="418" t="s">
        <v>752</v>
      </c>
      <c r="B107" s="424" t="s">
        <v>753</v>
      </c>
      <c r="C107" s="425">
        <f>SUM(C104:C106)</f>
        <v>7326</v>
      </c>
      <c r="D107" s="425">
        <f>SUM(D104:D106)</f>
        <v>529</v>
      </c>
      <c r="E107" s="425">
        <f>SUM(E104:E106)</f>
        <v>3219</v>
      </c>
      <c r="F107" s="426">
        <f>SUM(F104:F106)</f>
        <v>4636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Анелия Илиева Илиева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tr">
        <f>'Справка 6'!C50</f>
        <v>Арно Филип Франсоа Валто де Мулиак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28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28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Анелия Илиева Илиева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1" t="str">
        <f>'Справка 7'!B116:F116</f>
        <v>Арно Филип Франсоа Валто де Мулиак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2017-03-21T07:59:56Z</dcterms:modified>
  <cp:category/>
  <cp:version/>
  <cp:contentType/>
  <cp:contentStatus/>
</cp:coreProperties>
</file>