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35" windowHeight="10054" tabRatio="720" activeTab="2"/>
  </bookViews>
  <sheets>
    <sheet name="Начална" sheetId="1" r:id="rId1"/>
    <sheet name="1 - 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'1 - 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'1 - 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<sst xmlns="http://schemas.openxmlformats.org/spreadsheetml/2006/main" count="4318" uniqueCount="999">
  <si>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</si>
  <si>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</si>
  <si>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</si>
  <si>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</si>
  <si>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</si>
  <si>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</si>
  <si>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</si>
  <si>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</si>
  <si>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</si>
  <si>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</si>
  <si>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</si>
  <si>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</si>
  <si>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</si>
  <si>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</si>
  <si>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</si>
  <si>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</si>
  <si>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</si>
  <si>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</si>
  <si>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</si>
  <si>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</si>
  <si>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</si>
  <si>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</si>
  <si>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</si>
  <si>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</si>
  <si>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</si>
  <si>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</si>
  <si>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</si>
  <si>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</si>
  <si>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</si>
  <si>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</si>
  <si>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</si>
  <si>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</si>
  <si>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</si>
  <si>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</si>
  <si>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</si>
  <si>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</si>
  <si>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</si>
  <si>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</si>
  <si>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</si>
  <si>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</si>
  <si>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</si>
  <si>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</si>
  <si>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</si>
  <si>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</si>
  <si>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</si>
  <si>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</si>
  <si>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</si>
  <si>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</si>
  <si>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</si>
  <si>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</si>
  <si>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</si>
  <si>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</si>
  <si>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</si>
  <si>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</si>
  <si>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</si>
  <si>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</si>
  <si>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</si>
  <si>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</si>
  <si>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</si>
  <si>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</si>
  <si>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</si>
  <si>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</si>
  <si>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</si>
  <si>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</si>
  <si>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</si>
  <si>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</si>
  <si>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</si>
  <si>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</si>
  <si>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</si>
  <si>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</si>
  <si>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</si>
  <si>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</si>
  <si>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</si>
  <si>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</si>
  <si>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</si>
  <si>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</si>
  <si>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</si>
  <si>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</si>
  <si>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</si>
  <si>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</si>
  <si>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</si>
  <si>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</si>
  <si>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</si>
  <si>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</si>
  <si>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</si>
  <si>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</si>
  <si>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</si>
  <si>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</si>
  <si>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</si>
  <si>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</si>
  <si>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</si>
  <si>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</si>
  <si>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</si>
  <si>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</si>
  <si>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</si>
  <si>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</si>
  <si>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</si>
  <si>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</si>
  <si>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</si>
  <si>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</si>
  <si>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</si>
  <si>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</si>
  <si>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</si>
  <si>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</si>
  <si>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</si>
  <si>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</si>
  <si>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</si>
  <si>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</si>
  <si>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</si>
  <si>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</si>
  <si>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</si>
  <si>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</si>
  <si>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</si>
  <si>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</si>
  <si>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</si>
  <si>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</si>
  <si>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</si>
  <si>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</si>
  <si>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</si>
  <si>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</si>
  <si>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</si>
  <si>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</si>
  <si>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</si>
  <si>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</si>
  <si>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</si>
  <si>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</si>
  <si>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</si>
  <si>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</si>
  <si>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</si>
  <si>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</si>
  <si>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</si>
  <si>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</si>
  <si>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</si>
  <si>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</si>
  <si>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</si>
  <si>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</si>
  <si>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</si>
  <si>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</si>
  <si>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</si>
  <si>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</si>
  <si>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</si>
  <si>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</si>
  <si>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</si>
  <si>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</si>
  <si>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</si>
  <si>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</si>
  <si>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</si>
  <si>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</si>
  <si>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</si>
  <si>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</si>
  <si>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</si>
  <si>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</si>
  <si>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</si>
  <si>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</si>
  <si>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</si>
  <si>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</si>
  <si>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</si>
  <si>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</si>
  <si>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</si>
  <si>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</si>
  <si>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</si>
  <si>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</si>
  <si>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</si>
  <si>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</si>
  <si>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</si>
  <si>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</si>
  <si>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</si>
  <si>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</si>
  <si>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</si>
  <si>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</si>
  <si>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</si>
  <si>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</si>
  <si>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</si>
  <si>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</si>
  <si>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</si>
  <si>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</si>
  <si>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</si>
  <si>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</si>
  <si>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</si>
  <si>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</si>
  <si>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</si>
  <si>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</si>
  <si>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</si>
  <si>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</si>
  <si>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</si>
  <si>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</si>
  <si>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</si>
  <si>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</si>
  <si>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</si>
  <si>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</si>
  <si>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</si>
  <si>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</si>
  <si>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</si>
  <si>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</si>
  <si>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</si>
  <si>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</si>
  <si>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</si>
  <si>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</si>
  <si>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</si>
  <si>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</si>
  <si>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</si>
  <si>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</si>
  <si>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</si>
  <si>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</si>
  <si>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</si>
  <si>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</si>
  <si>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</si>
  <si>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</si>
  <si>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</si>
  <si>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</si>
  <si>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</si>
  <si>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</si>
  <si>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</si>
  <si>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</si>
  <si>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</si>
  <si>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</si>
  <si>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</si>
  <si>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</si>
  <si>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</si>
  <si>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</si>
  <si>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</si>
  <si>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</si>
  <si>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</si>
  <si>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</si>
  <si>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</si>
  <si>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</si>
  <si>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</si>
  <si>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</si>
  <si>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</si>
  <si>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</si>
  <si>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</si>
  <si>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</si>
  <si>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</si>
  <si>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</si>
  <si>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</si>
  <si>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</si>
  <si>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</si>
  <si>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</si>
  <si>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</si>
  <si>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</si>
  <si>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</si>
  <si>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</si>
  <si>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</si>
  <si>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</si>
  <si>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</si>
  <si>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</si>
  <si>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</si>
  <si>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</si>
  <si>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</si>
  <si>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</si>
  <si>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</si>
  <si>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</si>
  <si>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</si>
  <si>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</si>
  <si>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</si>
  <si>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</si>
  <si>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</si>
  <si>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</si>
  <si>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</si>
  <si>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</si>
  <si>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</si>
  <si>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</si>
  <si>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</si>
  <si>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</si>
  <si>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</si>
  <si>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</si>
  <si>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</si>
  <si>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</si>
  <si>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</si>
  <si>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</si>
  <si>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</si>
  <si>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</si>
  <si>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</si>
  <si>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</si>
  <si>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</si>
  <si>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</si>
  <si>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</si>
  <si>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</si>
  <si>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</si>
  <si>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</si>
  <si>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</si>
  <si>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</si>
  <si>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</si>
  <si>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</si>
  <si>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</si>
  <si>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</si>
  <si>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</si>
  <si>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</si>
  <si>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</si>
  <si>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</si>
  <si>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</si>
  <si>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</si>
  <si>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</si>
  <si>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</si>
  <si>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</si>
  <si>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</si>
  <si>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</si>
  <si>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</si>
  <si>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</si>
  <si>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</si>
  <si>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</si>
  <si>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</si>
  <si>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</si>
  <si>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</si>
  <si>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</si>
  <si>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</si>
  <si>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</si>
  <si>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</si>
  <si>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</si>
  <si>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</si>
  <si>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</si>
  <si>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</si>
  <si>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</si>
  <si>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</si>
  <si>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</si>
  <si>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</si>
  <si>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</si>
  <si>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</si>
  <si>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</si>
  <si>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</si>
  <si>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</si>
  <si>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</si>
  <si>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</si>
  <si>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</si>
  <si>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</si>
  <si>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</si>
  <si>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</si>
  <si>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</si>
  <si>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</si>
  <si>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</si>
  <si>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</si>
  <si>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</si>
  <si>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</si>
  <si>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</si>
  <si>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</si>
  <si>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</si>
  <si>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</si>
  <si>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</si>
  <si>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</si>
  <si>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</si>
  <si>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</si>
  <si>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</si>
  <si>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</si>
  <si>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</si>
  <si>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</si>
  <si>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</si>
  <si>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</si>
  <si>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</si>
  <si>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</si>
  <si>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</si>
  <si>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</si>
  <si>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</si>
  <si>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</si>
  <si>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</si>
  <si>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</si>
  <si>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</si>
  <si>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</si>
  <si>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</si>
  <si>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</si>
  <si>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</si>
  <si>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</si>
  <si>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</si>
  <si>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</si>
  <si>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</si>
  <si>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</si>
  <si>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</si>
  <si>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</si>
  <si>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</si>
  <si>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</si>
  <si>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</si>
  <si>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</si>
  <si>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</si>
  <si>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</si>
  <si>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</si>
  <si>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</si>
  <si>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</si>
  <si>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</si>
  <si>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</si>
  <si>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</si>
  <si>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</si>
  <si>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</si>
  <si>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</si>
  <si>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</si>
  <si>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</si>
  <si>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</si>
  <si>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</si>
  <si>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</si>
  <si>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</si>
  <si>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</si>
  <si>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</si>
  <si>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</si>
  <si>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</si>
  <si>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</si>
  <si>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</si>
  <si>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</si>
  <si>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</si>
  <si>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</si>
  <si>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</si>
  <si>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</si>
  <si>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</si>
  <si>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</si>
  <si>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</si>
  <si>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</si>
  <si>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</si>
  <si>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</si>
  <si>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</si>
  <si>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</si>
  <si>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</si>
  <si>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</si>
  <si>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</si>
  <si>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</si>
  <si>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</si>
  <si>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</si>
  <si>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</si>
  <si>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</si>
  <si>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</si>
  <si>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</si>
  <si>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</si>
  <si>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</si>
  <si>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</si>
  <si>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</si>
  <si>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</si>
  <si>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</si>
  <si>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</si>
  <si>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</si>
  <si>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</si>
  <si>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</si>
  <si>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</si>
  <si>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</si>
  <si>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</si>
  <si>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</si>
  <si>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</si>
  <si>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</si>
  <si>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</si>
  <si>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</si>
  <si>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</si>
  <si>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</si>
  <si>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</si>
  <si>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</si>
  <si>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</si>
  <si>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</si>
  <si>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</si>
  <si>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</si>
  <si>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</si>
  <si>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</si>
  <si>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</si>
  <si>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</si>
  <si>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</si>
  <si>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</si>
  <si>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</si>
  <si>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</si>
  <si>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</si>
  <si>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</si>
  <si>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</si>
  <si>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</si>
  <si>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</si>
  <si>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</si>
  <si>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</si>
  <si>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</si>
  <si>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</si>
  <si>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</si>
  <si>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</si>
  <si>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</si>
  <si>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</si>
  <si>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</si>
  <si>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</si>
  <si>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</si>
  <si>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</si>
  <si>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</si>
  <si>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</si>
  <si>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</si>
  <si>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</si>
  <si>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</si>
  <si>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</si>
  <si>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</si>
  <si>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</si>
  <si>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</si>
  <si>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</si>
  <si>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</si>
  <si>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</si>
  <si>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</si>
  <si>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</si>
  <si>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</si>
  <si>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</si>
  <si>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</si>
  <si>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</si>
  <si>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</si>
  <si>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</si>
  <si>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</si>
  <si>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</si>
  <si>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</si>
  <si>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</si>
  <si>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</si>
  <si>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</si>
  <si>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</si>
  <si>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</si>
  <si>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</si>
  <si>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</si>
  <si>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</si>
  <si>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</si>
  <si>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</si>
  <si>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</si>
  <si>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</si>
  <si>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</si>
  <si>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</si>
  <si>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</si>
  <si>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</si>
  <si>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</si>
  <si>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</si>
  <si>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</si>
  <si>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</si>
  <si>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</si>
  <si>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</si>
  <si>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</si>
  <si>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</si>
  <si>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</si>
  <si>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</si>
  <si>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</si>
  <si>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</si>
  <si>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</si>
  <si>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</si>
  <si>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</si>
  <si>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</si>
  <si>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</si>
  <si>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</si>
  <si>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</si>
  <si>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</si>
  <si>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</si>
  <si>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</si>
  <si>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</si>
  <si>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</si>
  <si>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</si>
  <si>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</si>
  <si>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</si>
  <si>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</si>
  <si>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</si>
  <si>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</si>
  <si>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</si>
  <si>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</si>
  <si>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</si>
  <si>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</si>
  <si>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</si>
  <si>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</si>
  <si>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</si>
  <si>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</si>
  <si>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</si>
  <si>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</si>
  <si>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</si>
  <si>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</si>
  <si>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</si>
  <si>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</si>
  <si>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</si>
  <si>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</si>
  <si>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</si>
  <si>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</si>
  <si>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</si>
  <si>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</si>
  <si>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</si>
  <si>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</si>
  <si>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</si>
  <si>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</si>
  <si>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</si>
  <si>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</si>
  <si>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</si>
  <si>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</si>
  <si>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</si>
  <si>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</si>
  <si>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</si>
  <si>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</si>
  <si>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</si>
  <si>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</si>
  <si>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</si>
  <si>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</si>
  <si>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</si>
  <si>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</si>
  <si>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</si>
  <si>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</si>
  <si>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</si>
  <si>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</si>
  <si>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</si>
  <si>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</si>
  <si>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</si>
  <si>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</si>
  <si>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</si>
  <si>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</si>
  <si>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</si>
  <si>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</si>
  <si>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</si>
  <si>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</si>
  <si>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</si>
  <si>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</si>
  <si>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</si>
  <si>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</si>
  <si>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</si>
  <si>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</si>
  <si>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</si>
  <si>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</si>
  <si>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</si>
  <si>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</si>
  <si>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</si>
  <si>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</si>
  <si>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</si>
  <si>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</si>
  <si>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</si>
  <si>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</si>
  <si>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</si>
  <si>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</si>
  <si>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</si>
  <si>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</si>
  <si>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</si>
  <si>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</si>
  <si>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</si>
  <si>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</si>
  <si>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</si>
  <si>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</si>
  <si>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</si>
  <si>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</si>
  <si>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</si>
  <si>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</si>
  <si>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</si>
  <si>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</si>
  <si>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</si>
  <si>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</si>
  <si>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</si>
  <si>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</si>
  <si>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</si>
  <si>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</si>
  <si>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</si>
  <si>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</si>
  <si>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</si>
  <si>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</si>
  <si>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</si>
  <si>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</si>
  <si>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</si>
  <si>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</si>
  <si>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</si>
  <si>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</si>
  <si>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</si>
  <si>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</si>
  <si>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</si>
  <si>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</si>
  <si>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</si>
  <si>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</si>
  <si>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</si>
  <si>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</si>
  <si>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</si>
  <si>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</si>
  <si>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</si>
  <si>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</si>
  <si>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</si>
  <si>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</si>
  <si>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</si>
  <si>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</si>
  <si>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</si>
  <si>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</si>
  <si>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</si>
  <si>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</si>
  <si>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</si>
  <si>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</si>
  <si>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</si>
  <si>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</si>
  <si>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</si>
  <si>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</si>
  <si>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</si>
  <si>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</si>
  <si>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</si>
  <si>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</si>
  <si>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</si>
  <si>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</si>
  <si>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</si>
  <si>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</si>
  <si>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</si>
  <si>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</si>
  <si>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</si>
  <si>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</si>
  <si>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</si>
  <si>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</si>
  <si>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</si>
  <si>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</si>
  <si>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</si>
  <si>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</si>
  <si>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</si>
  <si>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</si>
  <si>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</si>
  <si>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</si>
  <si>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</si>
  <si>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</si>
  <si>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</si>
  <si>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</si>
  <si>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</si>
  <si>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</si>
  <si>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</si>
  <si>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</si>
  <si>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</si>
  <si>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</si>
  <si>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</si>
  <si>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</si>
  <si>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</si>
  <si>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</si>
  <si>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</si>
  <si>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</si>
  <si>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</si>
  <si>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</si>
  <si>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</si>
  <si>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</si>
  <si>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</si>
  <si>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</si>
  <si>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</si>
  <si>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</si>
  <si>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</si>
  <si>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</si>
  <si>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</si>
  <si>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</si>
  <si>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</si>
  <si>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</si>
  <si>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</si>
  <si>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</si>
  <si>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</si>
  <si>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</si>
  <si>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</si>
  <si>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</si>
  <si>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</si>
  <si>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</si>
  <si>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</si>
  <si>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</si>
  <si>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</si>
  <si>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</si>
  <si>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</si>
  <si>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</si>
  <si>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</si>
  <si>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</si>
  <si>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</si>
  <si>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</si>
  <si>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</si>
  <si>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</si>
  <si>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</si>
  <si>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</si>
  <si>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</si>
  <si>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</si>
  <si>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</si>
  <si>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</si>
  <si>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</si>
  <si>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</si>
  <si>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</si>
  <si>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</si>
  <si>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</si>
  <si>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</si>
  <si>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</si>
  <si>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</si>
  <si>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</si>
  <si>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</si>
  <si>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</si>
  <si>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</si>
  <si>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</si>
  <si>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</si>
  <si>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</si>
  <si>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</si>
  <si>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</si>
  <si>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</si>
  <si>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</si>
  <si>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</si>
  <si>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</si>
  <si>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</si>
  <si>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</si>
  <si>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</si>
  <si>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</si>
  <si>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</si>
  <si>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</si>
  <si>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</si>
  <si>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</si>
  <si>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</si>
  <si>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</si>
  <si>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</si>
  <si>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</si>
  <si>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</si>
  <si>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</si>
  <si>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</si>
  <si>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</si>
  <si>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</si>
  <si>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</si>
  <si>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</si>
  <si>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</si>
  <si>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</si>
  <si>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</si>
  <si>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</si>
  <si>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</si>
  <si>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</si>
  <si>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</si>
  <si>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</si>
  <si>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</si>
  <si>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</si>
  <si>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</si>
  <si>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</si>
  <si>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</si>
  <si>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</si>
  <si>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</si>
  <si>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</si>
  <si>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</si>
  <si>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</si>
  <si>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</si>
  <si>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</si>
  <si>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</si>
  <si>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</si>
  <si>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</si>
  <si>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</si>
  <si>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</si>
  <si>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</si>
  <si>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</si>
  <si>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</si>
  <si>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</si>
  <si>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</si>
  <si>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</si>
  <si>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</si>
  <si>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</si>
  <si>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</si>
  <si>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</si>
  <si>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</si>
  <si>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</si>
  <si>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</si>
  <si>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</si>
  <si>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</si>
  <si>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</si>
  <si>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</si>
  <si>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</si>
  <si>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</si>
  <si>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</si>
  <si>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</si>
  <si>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</si>
  <si>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</si>
  <si>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</si>
  <si>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</si>
  <si>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</si>
  <si>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</si>
  <si>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</si>
  <si>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</si>
  <si>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</si>
  <si>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</si>
  <si>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</si>
  <si>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</si>
  <si>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</si>
  <si>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</si>
  <si>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</si>
  <si>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</si>
  <si>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</si>
  <si>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</si>
  <si>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</si>
  <si>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</si>
  <si>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</si>
  <si>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</si>
  <si>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</si>
  <si>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</si>
  <si>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</si>
  <si>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</si>
  <si>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</si>
  <si>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</si>
  <si>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</si>
  <si>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</si>
  <si>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</si>
  <si>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</si>
  <si>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</si>
  <si>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</si>
  <si>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</si>
  <si>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</si>
  <si>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</si>
  <si>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</si>
  <si>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</si>
  <si>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</si>
  <si>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</si>
  <si>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</si>
  <si>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</si>
  <si>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</si>
  <si>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</si>
  <si>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</si>
  <si>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</si>
  <si>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</si>
  <si>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</si>
  <si>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</si>
  <si>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</si>
  <si>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</si>
  <si>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</si>
  <si>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</si>
  <si>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</si>
  <si>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</si>
  <si>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</si>
  <si>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</si>
  <si>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</si>
  <si>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</si>
  <si>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</si>
  <si>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</si>
  <si>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</si>
  <si>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</si>
  <si>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</si>
  <si>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</si>
  <si>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</si>
  <si>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</si>
  <si>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</si>
  <si>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</si>
  <si>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</si>
  <si>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</si>
  <si>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</si>
  <si>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</si>
  <si>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</si>
  <si>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</si>
  <si>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</si>
  <si>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</si>
  <si>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</si>
  <si>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</si>
  <si>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</si>
  <si>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</si>
  <si>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</si>
  <si>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</si>
  <si>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</si>
  <si>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</si>
  <si>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</si>
  <si>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</si>
  <si>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</si>
  <si>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</si>
  <si>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</si>
  <si>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</si>
  <si>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</si>
  <si>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</si>
  <si>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</si>
  <si>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</si>
  <si>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</si>
  <si>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</si>
  <si>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</si>
  <si>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</si>
  <si>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</si>
  <si>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</si>
  <si>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</si>
  <si>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</si>
  <si>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</si>
  <si>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</si>
  <si>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</si>
  <si>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</si>
  <si>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</si>
  <si>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</si>
  <si>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</si>
  <si>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</si>
  <si>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</si>
  <si>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</si>
  <si>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</si>
  <si>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</si>
  <si>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</si>
  <si>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</si>
  <si>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</si>
  <si>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</si>
  <si>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</si>
  <si>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</si>
  <si>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</si>
  <si>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</si>
  <si>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</si>
  <si>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</si>
  <si>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</si>
  <si>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</si>
  <si>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</si>
  <si>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</si>
  <si>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</si>
  <si>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</si>
  <si>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</si>
  <si>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</si>
  <si>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</si>
  <si>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</si>
  <si>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</si>
  <si>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</si>
  <si>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</si>
  <si>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</si>
  <si>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</si>
  <si>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</si>
  <si>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</si>
  <si>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</si>
  <si>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</si>
  <si>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</si>
  <si>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</si>
  <si>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</si>
  <si>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</si>
  <si>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</si>
  <si>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</si>
  <si>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</si>
  <si>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</si>
  <si>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</si>
  <si>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</si>
  <si>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</si>
  <si>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</si>
  <si>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</si>
  <si>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</si>
  <si>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</si>
  <si>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</si>
  <si>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</si>
  <si>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ЗА НЕДВИЖИМИ ИМОТИ БЪЛГАРИЯ АДСИЦ</t>
  </si>
  <si>
    <t>131350366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</si>
  <si>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</si>
  <si>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</si>
  <si>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</si>
  <si>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</si>
  <si>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</si>
  <si>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</si>
  <si>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</si>
  <si>
    <t>Николай Драгомирецки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</si>
</sst>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44469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44498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Александър Кирилов Георгиев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44469</v>
      </c>
    </row>
    <row r="11" spans="1:2" ht="15">
      <c r="A11" s="7" t="s">
        <v>977</v>
      </c>
      <c r="B11" s="578">
        <v>44498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'1 - Баланс'!C95</f>
        <v>148466</v>
      </c>
      <c r="D6" s="675">
        <f aca="true" t="shared" si="0" ref="D6:D15">C6-E6</f>
        <v>0</v>
      </c>
      <c r="E6" s="674">
        <f>'1 - Баланс'!G95</f>
        <v>148466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'1 - Баланс'!G37</f>
        <v>108270</v>
      </c>
      <c r="D7" s="675">
        <f t="shared" si="0"/>
        <v>73628</v>
      </c>
      <c r="E7" s="674">
        <f>'1 - Баланс'!G18</f>
        <v>34642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ABS('1 - Баланс'!G32)-ABS('1 - Баланс'!G33)</f>
        <v>2882</v>
      </c>
      <c r="D8" s="675">
        <f t="shared" si="0"/>
        <v>0</v>
      </c>
      <c r="E8" s="674">
        <f>ABS('2-Отчет за доходите'!C44)-ABS('2-Отчет за доходите'!G44)</f>
        <v>2882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'1 - Баланс'!D92</f>
        <v>3580</v>
      </c>
      <c r="D9" s="675">
        <f t="shared" si="0"/>
        <v>0</v>
      </c>
      <c r="E9" s="674">
        <f>'3-Отчет за паричния поток'!C45</f>
        <v>3580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'1 - Баланс'!C92</f>
        <v>371</v>
      </c>
      <c r="D10" s="675">
        <f t="shared" si="0"/>
        <v>0</v>
      </c>
      <c r="E10" s="674">
        <f>'3-Отчет за паричния поток'!C46</f>
        <v>371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'1 - Баланс'!G37</f>
        <v>108270</v>
      </c>
      <c r="D11" s="675">
        <f t="shared" si="0"/>
        <v>0</v>
      </c>
      <c r="E11" s="674">
        <f>'4-Отчет за собствения капитал'!L34</f>
        <v>108270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'1 - 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'1 - 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'1 - 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'1 - 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">
      <c r="A3" s="592">
        <v>1</v>
      </c>
      <c r="B3" s="590" t="s">
        <v>885</v>
      </c>
      <c r="C3" s="591" t="s">
        <v>884</v>
      </c>
      <c r="D3" s="642">
        <f>(ABS('1 - Баланс'!G32)-ABS('1 - Баланс'!G33))/'2-Отчет за доходите'!G16</f>
        <v>0.4837193689157435</v>
      </c>
      <c r="E3" s="646"/>
    </row>
    <row r="4" spans="1:4" ht="30">
      <c r="A4" s="592">
        <v>2</v>
      </c>
      <c r="B4" s="590" t="s">
        <v>911</v>
      </c>
      <c r="C4" s="591" t="s">
        <v>888</v>
      </c>
      <c r="D4" s="642">
        <f>(ABS('1 - Баланс'!G32)-ABS('1 - Баланс'!G33))/'1 - Баланс'!G37</f>
        <v>0.0266186385887134</v>
      </c>
    </row>
    <row r="5" spans="1:4" ht="30">
      <c r="A5" s="592">
        <v>3</v>
      </c>
      <c r="B5" s="590" t="s">
        <v>889</v>
      </c>
      <c r="C5" s="591" t="s">
        <v>890</v>
      </c>
      <c r="D5" s="642">
        <f>(ABS('1 - Баланс'!G32)-ABS('1 - Баланс'!G33))/('1 - Баланс'!G56+'1 - Баланс'!G79)</f>
        <v>0.0716986764852224</v>
      </c>
    </row>
    <row r="6" spans="1:4" ht="30">
      <c r="A6" s="592">
        <v>4</v>
      </c>
      <c r="B6" s="590" t="s">
        <v>912</v>
      </c>
      <c r="C6" s="591" t="s">
        <v>891</v>
      </c>
      <c r="D6" s="642">
        <f>(ABS('1 - Баланс'!G32)-ABS('1 - Баланс'!G33))/('1 - Баланс'!C95)</f>
        <v>0.019411851871809032</v>
      </c>
    </row>
    <row r="7" spans="1:4" ht="24" customHeight="1">
      <c r="A7" s="645" t="s">
        <v>892</v>
      </c>
      <c r="B7" s="643"/>
      <c r="C7" s="643"/>
      <c r="D7" s="644"/>
    </row>
    <row r="8" spans="1:4" ht="30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1.936931079323797</v>
      </c>
    </row>
    <row r="9" spans="1:4" ht="24" customHeight="1">
      <c r="A9" s="645" t="s">
        <v>895</v>
      </c>
      <c r="B9" s="643"/>
      <c r="C9" s="643"/>
      <c r="D9" s="644"/>
    </row>
    <row r="10" spans="1:4" ht="30">
      <c r="A10" s="592">
        <v>6</v>
      </c>
      <c r="B10" s="590" t="s">
        <v>896</v>
      </c>
      <c r="C10" s="591" t="s">
        <v>897</v>
      </c>
      <c r="D10" s="641">
        <f>'1 - Баланс'!C94/'1 - Баланс'!G79</f>
        <v>0.4961311341885563</v>
      </c>
    </row>
    <row r="11" spans="1:4" ht="60">
      <c r="A11" s="592">
        <v>7</v>
      </c>
      <c r="B11" s="590" t="s">
        <v>898</v>
      </c>
      <c r="C11" s="591" t="s">
        <v>966</v>
      </c>
      <c r="D11" s="641">
        <f>('1 - Баланс'!C76+'1 - Баланс'!C85+'1 - Баланс'!C92)/'1 - Баланс'!G79</f>
        <v>0.36866218692730607</v>
      </c>
    </row>
    <row r="12" spans="1:4" ht="45">
      <c r="A12" s="592">
        <v>8</v>
      </c>
      <c r="B12" s="590" t="s">
        <v>899</v>
      </c>
      <c r="C12" s="591" t="s">
        <v>967</v>
      </c>
      <c r="D12" s="641">
        <f>('1 - Баланс'!C85+'1 - Баланс'!C92)/'1 - Баланс'!G79</f>
        <v>0.037772347790673996</v>
      </c>
    </row>
    <row r="13" spans="1:4" ht="30">
      <c r="A13" s="592">
        <v>9</v>
      </c>
      <c r="B13" s="590" t="s">
        <v>900</v>
      </c>
      <c r="C13" s="591" t="s">
        <v>901</v>
      </c>
      <c r="D13" s="641">
        <f>'1 - Баланс'!C92/'1 - Баланс'!G79</f>
        <v>0.037772347790673996</v>
      </c>
    </row>
    <row r="14" spans="1:4" ht="24" customHeight="1">
      <c r="A14" s="645" t="s">
        <v>902</v>
      </c>
      <c r="B14" s="643"/>
      <c r="C14" s="643"/>
      <c r="D14" s="644"/>
    </row>
    <row r="15" spans="1:4" ht="30">
      <c r="A15" s="592">
        <v>10</v>
      </c>
      <c r="B15" s="590" t="s">
        <v>916</v>
      </c>
      <c r="C15" s="591" t="s">
        <v>903</v>
      </c>
      <c r="D15" s="641">
        <f>'2-Отчет за доходите'!G16/('1 - Баланс'!C20+'1 - Баланс'!C21+'1 - Баланс'!C22+'1 - Баланс'!C28+'1 - Баланс'!C65)</f>
        <v>0.041237541528239205</v>
      </c>
    </row>
    <row r="16" spans="1:4" ht="30">
      <c r="A16" s="648">
        <v>11</v>
      </c>
      <c r="B16" s="590" t="s">
        <v>902</v>
      </c>
      <c r="C16" s="591" t="s">
        <v>915</v>
      </c>
      <c r="D16" s="649">
        <f>'2-Отчет за доходите'!G16/('1 - Баланс'!C95)</f>
        <v>0.04013040022631444</v>
      </c>
    </row>
    <row r="17" spans="1:4" ht="24" customHeight="1">
      <c r="A17" s="645" t="s">
        <v>905</v>
      </c>
      <c r="B17" s="643"/>
      <c r="C17" s="643"/>
      <c r="D17" s="644"/>
    </row>
    <row r="18" spans="1:4" ht="30">
      <c r="A18" s="592">
        <v>12</v>
      </c>
      <c r="B18" s="590" t="s">
        <v>932</v>
      </c>
      <c r="C18" s="591" t="s">
        <v>904</v>
      </c>
      <c r="D18" s="641">
        <f>'1 - Баланс'!G56/('1 - Баланс'!G37+'1 - Баланс'!G56)</f>
        <v>0.21907908023426906</v>
      </c>
    </row>
    <row r="19" spans="1:4" ht="30">
      <c r="A19" s="592">
        <v>13</v>
      </c>
      <c r="B19" s="590" t="s">
        <v>933</v>
      </c>
      <c r="C19" s="591" t="s">
        <v>906</v>
      </c>
      <c r="D19" s="641">
        <f>D4/D5</f>
        <v>0.37125704257873837</v>
      </c>
    </row>
    <row r="20" spans="1:4" ht="30">
      <c r="A20" s="592">
        <v>14</v>
      </c>
      <c r="B20" s="590" t="s">
        <v>907</v>
      </c>
      <c r="C20" s="591" t="s">
        <v>908</v>
      </c>
      <c r="D20" s="641">
        <f>D6/D5</f>
        <v>0.27074212277558496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3374</v>
      </c>
      <c r="E21" s="698"/>
    </row>
    <row r="22" spans="1:4" ht="45">
      <c r="A22" s="592">
        <v>16</v>
      </c>
      <c r="B22" s="590" t="s">
        <v>913</v>
      </c>
      <c r="C22" s="591" t="s">
        <v>914</v>
      </c>
      <c r="D22" s="647">
        <f>D21/'1 - Баланс'!G37</f>
        <v>0.03116283365659924</v>
      </c>
    </row>
    <row r="23" spans="1:4" ht="30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0.5694864048338368</v>
      </c>
    </row>
    <row r="24" spans="1:4" ht="30">
      <c r="A24" s="592">
        <v>18</v>
      </c>
      <c r="B24" s="590" t="s">
        <v>982</v>
      </c>
      <c r="C24" s="591" t="s">
        <v>983</v>
      </c>
      <c r="D24" s="647">
        <f>('1 - Баланс'!G56+'1 - Баланс'!G79)/(D21+'2-Отчет за доходите'!C14)</f>
        <v>11.846743295019158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'1 - Баланс'!C12</f>
        <v>0</v>
      </c>
    </row>
    <row r="4" spans="1:8" ht="1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'1 - Баланс'!C13</f>
        <v>0</v>
      </c>
    </row>
    <row r="5" spans="1:8" ht="1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'1 - Баланс'!C14</f>
        <v>0</v>
      </c>
    </row>
    <row r="6" spans="1:8" ht="1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'1 - Баланс'!C15</f>
        <v>0</v>
      </c>
    </row>
    <row r="7" spans="1:8" ht="1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'1 - Баланс'!C16</f>
        <v>0</v>
      </c>
    </row>
    <row r="8" spans="1:8" ht="1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'1 - Баланс'!C17</f>
        <v>3</v>
      </c>
    </row>
    <row r="9" spans="1:8" ht="1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'1 - Баланс'!C18</f>
        <v>60745</v>
      </c>
    </row>
    <row r="10" spans="1:8" ht="1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'1 - Баланс'!C19</f>
        <v>4</v>
      </c>
    </row>
    <row r="11" spans="1:8" ht="1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'1 - Баланс'!C20</f>
        <v>60752</v>
      </c>
    </row>
    <row r="12" spans="1:8" ht="1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'1 - Баланс'!C21</f>
        <v>82834</v>
      </c>
    </row>
    <row r="13" spans="1:8" ht="1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'1 - Баланс'!C22</f>
        <v>0</v>
      </c>
    </row>
    <row r="14" spans="1:8" ht="1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'1 - Баланс'!C24</f>
        <v>0</v>
      </c>
    </row>
    <row r="15" spans="1:8" ht="1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'1 - Баланс'!C25</f>
        <v>0</v>
      </c>
    </row>
    <row r="16" spans="1:8" ht="1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'1 - Баланс'!C26</f>
        <v>0</v>
      </c>
    </row>
    <row r="17" spans="1:8" ht="1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'1 - Баланс'!C27</f>
        <v>7</v>
      </c>
    </row>
    <row r="18" spans="1:8" ht="1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'1 - Баланс'!C28</f>
        <v>7</v>
      </c>
    </row>
    <row r="19" spans="1:8" ht="1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'1 - Баланс'!C31</f>
        <v>0</v>
      </c>
    </row>
    <row r="20" spans="1:8" ht="1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'1 - Баланс'!C32</f>
        <v>0</v>
      </c>
    </row>
    <row r="21" spans="1:8" ht="1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'1 - Баланс'!C33</f>
        <v>0</v>
      </c>
    </row>
    <row r="22" spans="1:8" ht="1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'1 - Баланс'!C35</f>
        <v>0</v>
      </c>
    </row>
    <row r="23" spans="1:8" ht="1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'1 - Баланс'!C36</f>
        <v>0</v>
      </c>
    </row>
    <row r="24" spans="1:8" ht="1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'1 - Баланс'!C37</f>
        <v>0</v>
      </c>
    </row>
    <row r="25" spans="1:8" ht="1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'1 - Баланс'!C38</f>
        <v>0</v>
      </c>
    </row>
    <row r="26" spans="1:8" ht="1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'1 - Баланс'!C39</f>
        <v>0</v>
      </c>
    </row>
    <row r="27" spans="1:8" ht="1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'1 - Баланс'!C40</f>
        <v>0</v>
      </c>
    </row>
    <row r="28" spans="1:8" ht="1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'1 - Баланс'!C41</f>
        <v>0</v>
      </c>
    </row>
    <row r="29" spans="1:8" ht="1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'1 - Баланс'!C42</f>
        <v>0</v>
      </c>
    </row>
    <row r="30" spans="1:8" ht="1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'1 - Баланс'!C43</f>
        <v>0</v>
      </c>
    </row>
    <row r="31" spans="1:8" ht="1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'1 - Баланс'!C44</f>
        <v>0</v>
      </c>
    </row>
    <row r="32" spans="1:8" ht="1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'1 - Баланс'!C45</f>
        <v>0</v>
      </c>
    </row>
    <row r="33" spans="1:8" ht="1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'1 - Баланс'!C46</f>
        <v>0</v>
      </c>
    </row>
    <row r="34" spans="1:8" ht="1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'1 - Баланс'!C48</f>
        <v>0</v>
      </c>
    </row>
    <row r="35" spans="1:8" ht="1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'1 - Баланс'!C49</f>
        <v>0</v>
      </c>
    </row>
    <row r="36" spans="1:8" ht="1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'1 - Баланс'!C50</f>
        <v>0</v>
      </c>
    </row>
    <row r="37" spans="1:8" ht="1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'1 - Баланс'!C51</f>
        <v>0</v>
      </c>
    </row>
    <row r="38" spans="1:8" ht="1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'1 - Баланс'!C52</f>
        <v>0</v>
      </c>
    </row>
    <row r="39" spans="1:8" ht="1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'1 - Баланс'!C54</f>
        <v>0</v>
      </c>
    </row>
    <row r="40" spans="1:8" ht="1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'1 - Баланс'!C55</f>
        <v>0</v>
      </c>
    </row>
    <row r="41" spans="1:8" ht="1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'1 - Баланс'!C56</f>
        <v>143593</v>
      </c>
    </row>
    <row r="42" spans="1:8" ht="1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'1 - Баланс'!C59</f>
        <v>5</v>
      </c>
    </row>
    <row r="43" spans="1:8" ht="1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'1 - Баланс'!C60</f>
        <v>0</v>
      </c>
    </row>
    <row r="44" spans="1:8" ht="1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'1 - Баланс'!C61</f>
        <v>0</v>
      </c>
    </row>
    <row r="45" spans="1:8" ht="1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'1 - Баланс'!C62</f>
        <v>0</v>
      </c>
    </row>
    <row r="46" spans="1:8" ht="1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'1 - Баланс'!C63</f>
        <v>0</v>
      </c>
    </row>
    <row r="47" spans="1:8" ht="1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'1 - Баланс'!C64</f>
        <v>882</v>
      </c>
    </row>
    <row r="48" spans="1:8" ht="1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'1 - Баланс'!C65</f>
        <v>887</v>
      </c>
    </row>
    <row r="49" spans="1:8" ht="1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'1 - Баланс'!C68</f>
        <v>59</v>
      </c>
    </row>
    <row r="50" spans="1:8" ht="1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'1 - Баланс'!C69</f>
        <v>330</v>
      </c>
    </row>
    <row r="51" spans="1:8" ht="1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'1 - Баланс'!C70</f>
        <v>0</v>
      </c>
    </row>
    <row r="52" spans="1:8" ht="1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'1 - Баланс'!C71</f>
        <v>0</v>
      </c>
    </row>
    <row r="53" spans="1:8" ht="1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'1 - Баланс'!C72</f>
        <v>0</v>
      </c>
    </row>
    <row r="54" spans="1:8" ht="1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'1 - Баланс'!C73</f>
        <v>2861</v>
      </c>
    </row>
    <row r="55" spans="1:8" ht="1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'1 - Баланс'!C74</f>
        <v>0</v>
      </c>
    </row>
    <row r="56" spans="1:8" ht="1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'1 - Баланс'!C75</f>
        <v>0</v>
      </c>
    </row>
    <row r="57" spans="1:8" ht="1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'1 - Баланс'!C76</f>
        <v>3250</v>
      </c>
    </row>
    <row r="58" spans="1:8" ht="1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'1 - Баланс'!C79</f>
        <v>0</v>
      </c>
    </row>
    <row r="59" spans="1:8" ht="1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'1 - Баланс'!C80</f>
        <v>0</v>
      </c>
    </row>
    <row r="60" spans="1:8" ht="1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'1 - Баланс'!C81</f>
        <v>0</v>
      </c>
    </row>
    <row r="61" spans="1:8" ht="1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'1 - Баланс'!C82</f>
        <v>0</v>
      </c>
    </row>
    <row r="62" spans="1:8" ht="1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'1 - Баланс'!C83</f>
        <v>0</v>
      </c>
    </row>
    <row r="63" spans="1:8" ht="1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'1 - Баланс'!C84</f>
        <v>0</v>
      </c>
    </row>
    <row r="64" spans="1:8" ht="1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'1 - Баланс'!C85</f>
        <v>0</v>
      </c>
    </row>
    <row r="65" spans="1:8" ht="1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'1 - Баланс'!C88</f>
        <v>1</v>
      </c>
    </row>
    <row r="66" spans="1:8" ht="1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'1 - Баланс'!C89</f>
        <v>370</v>
      </c>
    </row>
    <row r="67" spans="1:8" ht="1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'1 - Баланс'!C90</f>
        <v>0</v>
      </c>
    </row>
    <row r="68" spans="1:8" ht="1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'1 - Баланс'!C91</f>
        <v>0</v>
      </c>
    </row>
    <row r="69" spans="1:8" ht="1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'1 - Баланс'!C92</f>
        <v>371</v>
      </c>
    </row>
    <row r="70" spans="1:8" ht="1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'1 - Баланс'!C93</f>
        <v>365</v>
      </c>
    </row>
    <row r="71" spans="1:8" ht="1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'1 - Баланс'!C94</f>
        <v>4873</v>
      </c>
    </row>
    <row r="72" spans="1:8" ht="1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'1 - Баланс'!C95</f>
        <v>148466</v>
      </c>
    </row>
    <row r="73" spans="1:8" ht="1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'1 - Баланс'!G12</f>
        <v>34642</v>
      </c>
    </row>
    <row r="74" spans="1:8" ht="1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'1 - Баланс'!G13</f>
        <v>34642</v>
      </c>
    </row>
    <row r="75" spans="1:8" ht="1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'1 - Баланс'!G14</f>
        <v>0</v>
      </c>
    </row>
    <row r="76" spans="1:8" ht="1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'1 - Баланс'!G15</f>
        <v>0</v>
      </c>
    </row>
    <row r="77" spans="1:8" ht="1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'1 - Баланс'!G16</f>
        <v>0</v>
      </c>
    </row>
    <row r="78" spans="1:8" ht="1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'1 - Баланс'!G17</f>
        <v>0</v>
      </c>
    </row>
    <row r="79" spans="1:8" ht="1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'1 - Баланс'!G18</f>
        <v>34642</v>
      </c>
    </row>
    <row r="80" spans="1:8" ht="1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'1 - Баланс'!G20</f>
        <v>59380</v>
      </c>
    </row>
    <row r="81" spans="1:8" ht="1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'1 - Баланс'!G21</f>
        <v>0</v>
      </c>
    </row>
    <row r="82" spans="1:8" ht="1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'1 - Баланс'!G22</f>
        <v>0</v>
      </c>
    </row>
    <row r="83" spans="1:8" ht="1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'1 - Баланс'!G23</f>
        <v>0</v>
      </c>
    </row>
    <row r="84" spans="1:8" ht="1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'1 - Баланс'!G24</f>
        <v>0</v>
      </c>
    </row>
    <row r="85" spans="1:8" ht="1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'1 - Баланс'!G25</f>
        <v>0</v>
      </c>
    </row>
    <row r="86" spans="1:8" ht="1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'1 - Баланс'!G26</f>
        <v>59380</v>
      </c>
    </row>
    <row r="87" spans="1:8" ht="1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'1 - Баланс'!G28</f>
        <v>11366</v>
      </c>
    </row>
    <row r="88" spans="1:8" ht="1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'1 - Баланс'!G29</f>
        <v>11366</v>
      </c>
    </row>
    <row r="89" spans="1:8" ht="1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'1 - Баланс'!G30</f>
        <v>0</v>
      </c>
    </row>
    <row r="90" spans="1:8" ht="1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'1 - Баланс'!G31</f>
        <v>0</v>
      </c>
    </row>
    <row r="91" spans="1:8" ht="1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'1 - Баланс'!G32</f>
        <v>2882</v>
      </c>
    </row>
    <row r="92" spans="1:8" ht="1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'1 - Баланс'!G33</f>
        <v>0</v>
      </c>
    </row>
    <row r="93" spans="1:8" ht="1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'1 - Баланс'!G34</f>
        <v>14248</v>
      </c>
    </row>
    <row r="94" spans="1:8" ht="1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'1 - Баланс'!G37</f>
        <v>108270</v>
      </c>
    </row>
    <row r="95" spans="1:8" ht="1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'1 - Баланс'!G40</f>
        <v>0</v>
      </c>
    </row>
    <row r="96" spans="1:8" ht="1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'1 - Баланс'!G44</f>
        <v>0</v>
      </c>
    </row>
    <row r="97" spans="1:8" ht="1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'1 - Баланс'!G45</f>
        <v>30374</v>
      </c>
    </row>
    <row r="98" spans="1:8" ht="1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'1 - Баланс'!G46</f>
        <v>0</v>
      </c>
    </row>
    <row r="99" spans="1:8" ht="1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'1 - Баланс'!G47</f>
        <v>0</v>
      </c>
    </row>
    <row r="100" spans="1:8" ht="1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'1 - Баланс'!G48</f>
        <v>0</v>
      </c>
    </row>
    <row r="101" spans="1:8" ht="1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'1 - Баланс'!G49</f>
        <v>0</v>
      </c>
    </row>
    <row r="102" spans="1:8" ht="1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'1 - Баланс'!G50</f>
        <v>30374</v>
      </c>
    </row>
    <row r="103" spans="1:8" ht="1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'1 - Баланс'!G52</f>
        <v>0</v>
      </c>
    </row>
    <row r="104" spans="1:8" ht="1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'1 - Баланс'!G53</f>
        <v>0</v>
      </c>
    </row>
    <row r="105" spans="1:8" ht="1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'1 - Баланс'!G54</f>
        <v>0</v>
      </c>
    </row>
    <row r="106" spans="1:8" ht="1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'1 - Баланс'!G55</f>
        <v>0</v>
      </c>
    </row>
    <row r="107" spans="1:8" ht="1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'1 - Баланс'!G56</f>
        <v>30374</v>
      </c>
    </row>
    <row r="108" spans="1:8" ht="1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'1 - Баланс'!G59</f>
        <v>24</v>
      </c>
    </row>
    <row r="109" spans="1:8" ht="1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'1 - Баланс'!G60</f>
        <v>3618</v>
      </c>
    </row>
    <row r="110" spans="1:8" ht="1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'1 - Баланс'!G61</f>
        <v>6175</v>
      </c>
    </row>
    <row r="111" spans="1:8" ht="1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'1 - Баланс'!G62</f>
        <v>4062</v>
      </c>
    </row>
    <row r="112" spans="1:8" ht="1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'1 - Баланс'!G63</f>
        <v>0</v>
      </c>
    </row>
    <row r="113" spans="1:8" ht="1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'1 - Баланс'!G64</f>
        <v>2111</v>
      </c>
    </row>
    <row r="114" spans="1:8" ht="1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'1 - Баланс'!G65</f>
        <v>0</v>
      </c>
    </row>
    <row r="115" spans="1:8" ht="1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'1 - Баланс'!G66</f>
        <v>2</v>
      </c>
    </row>
    <row r="116" spans="1:8" ht="1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'1 - Баланс'!G67</f>
        <v>0</v>
      </c>
    </row>
    <row r="117" spans="1:8" ht="1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'1 - Баланс'!G68</f>
        <v>0</v>
      </c>
    </row>
    <row r="118" spans="1:8" ht="1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'1 - Баланс'!G69</f>
        <v>5</v>
      </c>
    </row>
    <row r="119" spans="1:8" ht="1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'1 - Баланс'!G70</f>
        <v>0</v>
      </c>
    </row>
    <row r="120" spans="1:8" ht="1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'1 - Баланс'!G71</f>
        <v>9822</v>
      </c>
    </row>
    <row r="121" spans="1:8" ht="1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'1 - Баланс'!G73</f>
        <v>0</v>
      </c>
    </row>
    <row r="122" spans="1:8" ht="1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'1 - Баланс'!G75</f>
        <v>0</v>
      </c>
    </row>
    <row r="123" spans="1:8" ht="1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'1 - Баланс'!G77</f>
        <v>0</v>
      </c>
    </row>
    <row r="124" spans="1:8" ht="1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'1 - Баланс'!G79</f>
        <v>9822</v>
      </c>
    </row>
    <row r="125" spans="1:8" ht="1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'1 - Баланс'!G95</f>
        <v>148466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37</v>
      </c>
    </row>
    <row r="128" spans="1:8" ht="1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1372</v>
      </c>
    </row>
    <row r="129" spans="1:8" ht="1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</v>
      </c>
    </row>
    <row r="130" spans="1:8" ht="1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99</v>
      </c>
    </row>
    <row r="131" spans="1:8" ht="1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759</v>
      </c>
    </row>
    <row r="133" spans="1:8" ht="1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282</v>
      </c>
    </row>
    <row r="135" spans="1:8" ht="1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2580</v>
      </c>
    </row>
    <row r="138" spans="1:8" ht="1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492</v>
      </c>
    </row>
    <row r="139" spans="1:8" ht="1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496</v>
      </c>
    </row>
    <row r="143" spans="1:8" ht="1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3076</v>
      </c>
    </row>
    <row r="144" spans="1:8" ht="1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2882</v>
      </c>
    </row>
    <row r="145" spans="1:8" ht="1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3076</v>
      </c>
    </row>
    <row r="148" spans="1:8" ht="1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2882</v>
      </c>
    </row>
    <row r="149" spans="1:8" ht="1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2882</v>
      </c>
    </row>
    <row r="154" spans="1:8" ht="1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2882</v>
      </c>
    </row>
    <row r="156" spans="1:8" ht="1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5958</v>
      </c>
    </row>
    <row r="157" spans="1:8" ht="1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815</v>
      </c>
    </row>
    <row r="159" spans="1:8" ht="1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5100</v>
      </c>
    </row>
    <row r="160" spans="1:8" ht="1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</v>
      </c>
    </row>
    <row r="161" spans="1:8" ht="1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5958</v>
      </c>
    </row>
    <row r="162" spans="1:8" ht="1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5958</v>
      </c>
    </row>
    <row r="171" spans="1:8" ht="1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5958</v>
      </c>
    </row>
    <row r="175" spans="1:8" ht="1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5958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9046</v>
      </c>
    </row>
    <row r="182" spans="1:8" ht="1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-10240</v>
      </c>
    </row>
    <row r="183" spans="1:8" ht="1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-132</v>
      </c>
    </row>
    <row r="185" spans="1:8" ht="1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3012</v>
      </c>
    </row>
    <row r="186" spans="1:8" ht="1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1682</v>
      </c>
    </row>
    <row r="192" spans="1:8" ht="1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-29814</v>
      </c>
    </row>
    <row r="198" spans="1:8" ht="1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415</v>
      </c>
    </row>
    <row r="199" spans="1:8" ht="1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-29399</v>
      </c>
    </row>
    <row r="203" spans="1:8" ht="1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28700</v>
      </c>
    </row>
    <row r="206" spans="1:8" ht="1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-932</v>
      </c>
    </row>
    <row r="207" spans="1:8" ht="1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-432</v>
      </c>
    </row>
    <row r="209" spans="1:8" ht="1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-2828</v>
      </c>
    </row>
    <row r="210" spans="1:8" ht="1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24508</v>
      </c>
    </row>
    <row r="212" spans="1:8" ht="1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-3209</v>
      </c>
    </row>
    <row r="213" spans="1:8" ht="1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3580</v>
      </c>
    </row>
    <row r="214" spans="1:8" ht="1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371</v>
      </c>
    </row>
    <row r="215" spans="1:8" ht="1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371</v>
      </c>
    </row>
    <row r="216" spans="1:8" ht="1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34642</v>
      </c>
    </row>
    <row r="219" spans="1:8" ht="1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34642</v>
      </c>
    </row>
    <row r="223" spans="1:8" ht="1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34642</v>
      </c>
    </row>
    <row r="237" spans="1:8" ht="1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34642</v>
      </c>
    </row>
    <row r="240" spans="1:8" ht="1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59380</v>
      </c>
    </row>
    <row r="241" spans="1:8" ht="1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59380</v>
      </c>
    </row>
    <row r="245" spans="1:8" ht="1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59380</v>
      </c>
    </row>
    <row r="259" spans="1:8" ht="1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59380</v>
      </c>
    </row>
    <row r="262" spans="1:8" ht="1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11654</v>
      </c>
    </row>
    <row r="351" spans="1:8" ht="1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11654</v>
      </c>
    </row>
    <row r="355" spans="1:8" ht="1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2882</v>
      </c>
    </row>
    <row r="356" spans="1:8" ht="1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-288</v>
      </c>
    </row>
    <row r="357" spans="1:8" ht="1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-288</v>
      </c>
    </row>
    <row r="358" spans="1:8" ht="1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14248</v>
      </c>
    </row>
    <row r="369" spans="1:8" ht="1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14248</v>
      </c>
    </row>
    <row r="372" spans="1:8" ht="1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105676</v>
      </c>
    </row>
    <row r="417" spans="1:8" ht="1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105676</v>
      </c>
    </row>
    <row r="421" spans="1:8" ht="1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2882</v>
      </c>
    </row>
    <row r="422" spans="1:8" ht="1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-288</v>
      </c>
    </row>
    <row r="423" spans="1:8" ht="1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-288</v>
      </c>
    </row>
    <row r="424" spans="1:8" ht="1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108270</v>
      </c>
    </row>
    <row r="435" spans="1:8" ht="1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108270</v>
      </c>
    </row>
    <row r="438" spans="1:8" ht="1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19</v>
      </c>
    </row>
    <row r="467" spans="1:8" ht="1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26970</v>
      </c>
    </row>
    <row r="468" spans="1:8" ht="1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29</v>
      </c>
    </row>
    <row r="469" spans="1:8" ht="1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27018</v>
      </c>
    </row>
    <row r="470" spans="1:8" ht="1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83218</v>
      </c>
    </row>
    <row r="471" spans="1:8" ht="1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48</v>
      </c>
    </row>
    <row r="476" spans="1:8" ht="1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48</v>
      </c>
    </row>
    <row r="477" spans="1:8" ht="1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110284</v>
      </c>
    </row>
    <row r="491" spans="1:8" ht="1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33775</v>
      </c>
    </row>
    <row r="498" spans="1:8" ht="1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33775</v>
      </c>
    </row>
    <row r="500" spans="1:8" ht="1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33775</v>
      </c>
    </row>
    <row r="521" spans="1:8" ht="1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384</v>
      </c>
    </row>
    <row r="531" spans="1:8" ht="1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384</v>
      </c>
    </row>
    <row r="551" spans="1:8" ht="1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19</v>
      </c>
    </row>
    <row r="557" spans="1:8" ht="1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60745</v>
      </c>
    </row>
    <row r="558" spans="1:8" ht="1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29</v>
      </c>
    </row>
    <row r="559" spans="1:8" ht="1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60793</v>
      </c>
    </row>
    <row r="560" spans="1:8" ht="1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82834</v>
      </c>
    </row>
    <row r="561" spans="1:8" ht="1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48</v>
      </c>
    </row>
    <row r="566" spans="1:8" ht="1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48</v>
      </c>
    </row>
    <row r="567" spans="1:8" ht="1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143675</v>
      </c>
    </row>
    <row r="581" spans="1:8" ht="1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19</v>
      </c>
    </row>
    <row r="647" spans="1:8" ht="1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60745</v>
      </c>
    </row>
    <row r="648" spans="1:8" ht="1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29</v>
      </c>
    </row>
    <row r="649" spans="1:8" ht="1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60793</v>
      </c>
    </row>
    <row r="650" spans="1:8" ht="1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82834</v>
      </c>
    </row>
    <row r="651" spans="1:8" ht="1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48</v>
      </c>
    </row>
    <row r="656" spans="1:8" ht="1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48</v>
      </c>
    </row>
    <row r="657" spans="1:8" ht="1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143675</v>
      </c>
    </row>
    <row r="671" spans="1:8" ht="1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15</v>
      </c>
    </row>
    <row r="677" spans="1:8" ht="1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16</v>
      </c>
    </row>
    <row r="679" spans="1:8" ht="1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31</v>
      </c>
    </row>
    <row r="680" spans="1:8" ht="1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32</v>
      </c>
    </row>
    <row r="686" spans="1:8" ht="1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32</v>
      </c>
    </row>
    <row r="687" spans="1:8" ht="1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63</v>
      </c>
    </row>
    <row r="701" spans="1:8" ht="1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9</v>
      </c>
    </row>
    <row r="709" spans="1:8" ht="1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9</v>
      </c>
    </row>
    <row r="716" spans="1:8" ht="1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9</v>
      </c>
    </row>
    <row r="717" spans="1:8" ht="1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19</v>
      </c>
    </row>
    <row r="731" spans="1:8" ht="1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16</v>
      </c>
    </row>
    <row r="767" spans="1:8" ht="1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25</v>
      </c>
    </row>
    <row r="769" spans="1:8" ht="1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41</v>
      </c>
    </row>
    <row r="770" spans="1:8" ht="1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41</v>
      </c>
    </row>
    <row r="776" spans="1:8" ht="1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41</v>
      </c>
    </row>
    <row r="777" spans="1:8" ht="1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82</v>
      </c>
    </row>
    <row r="791" spans="1:8" ht="1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16</v>
      </c>
    </row>
    <row r="857" spans="1:8" ht="1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25</v>
      </c>
    </row>
    <row r="859" spans="1:8" ht="1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41</v>
      </c>
    </row>
    <row r="860" spans="1:8" ht="1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41</v>
      </c>
    </row>
    <row r="866" spans="1:8" ht="1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41</v>
      </c>
    </row>
    <row r="867" spans="1:8" ht="1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82</v>
      </c>
    </row>
    <row r="881" spans="1:8" ht="1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60745</v>
      </c>
    </row>
    <row r="888" spans="1:8" ht="1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60752</v>
      </c>
    </row>
    <row r="890" spans="1:8" ht="1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82834</v>
      </c>
    </row>
    <row r="891" spans="1:8" ht="1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7</v>
      </c>
    </row>
    <row r="896" spans="1:8" ht="1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7</v>
      </c>
    </row>
    <row r="897" spans="1:8" ht="1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143593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59</v>
      </c>
    </row>
    <row r="924" spans="1:8" ht="1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59</v>
      </c>
    </row>
    <row r="927" spans="1:8" ht="1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330</v>
      </c>
    </row>
    <row r="928" spans="1:8" ht="1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2861</v>
      </c>
    </row>
    <row r="933" spans="1:8" ht="1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2861</v>
      </c>
    </row>
    <row r="935" spans="1:8" ht="1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3250</v>
      </c>
    </row>
    <row r="943" spans="1:8" ht="1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3250</v>
      </c>
    </row>
    <row r="944" spans="1:8" ht="1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59</v>
      </c>
    </row>
    <row r="956" spans="1:8" ht="1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59</v>
      </c>
    </row>
    <row r="959" spans="1:8" ht="1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330</v>
      </c>
    </row>
    <row r="960" spans="1:8" ht="1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2861</v>
      </c>
    </row>
    <row r="965" spans="1:8" ht="1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2861</v>
      </c>
    </row>
    <row r="967" spans="1:8" ht="1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3250</v>
      </c>
    </row>
    <row r="975" spans="1:8" ht="1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3250</v>
      </c>
    </row>
    <row r="976" spans="1:8" ht="1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30374</v>
      </c>
    </row>
    <row r="1013" spans="1:8" ht="1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30374</v>
      </c>
    </row>
    <row r="1014" spans="1:8" ht="1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30374</v>
      </c>
    </row>
    <row r="1023" spans="1:8" ht="1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4062</v>
      </c>
    </row>
    <row r="1025" spans="1:8" ht="1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4062</v>
      </c>
    </row>
    <row r="1026" spans="1:8" ht="1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</v>
      </c>
    </row>
    <row r="1029" spans="1:8" ht="1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24</v>
      </c>
    </row>
    <row r="1030" spans="1:8" ht="1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3618</v>
      </c>
    </row>
    <row r="1034" spans="1:8" ht="1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3618</v>
      </c>
    </row>
    <row r="1037" spans="1:8" ht="1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2113</v>
      </c>
    </row>
    <row r="1039" spans="1:8" ht="1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2111</v>
      </c>
    </row>
    <row r="1041" spans="1:8" ht="1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9822</v>
      </c>
    </row>
    <row r="1050" spans="1:8" ht="1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40196</v>
      </c>
    </row>
    <row r="1051" spans="1:8" ht="1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3618</v>
      </c>
    </row>
    <row r="1056" spans="1:8" ht="1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3618</v>
      </c>
    </row>
    <row r="1057" spans="1:8" ht="1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3618</v>
      </c>
    </row>
    <row r="1066" spans="1:8" ht="1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4062</v>
      </c>
    </row>
    <row r="1068" spans="1:8" ht="1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4062</v>
      </c>
    </row>
    <row r="1069" spans="1:8" ht="1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24</v>
      </c>
    </row>
    <row r="1072" spans="1:8" ht="1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24</v>
      </c>
    </row>
    <row r="1073" spans="1:8" ht="1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3618</v>
      </c>
    </row>
    <row r="1077" spans="1:8" ht="1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3618</v>
      </c>
    </row>
    <row r="1080" spans="1:8" ht="1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2113</v>
      </c>
    </row>
    <row r="1082" spans="1:8" ht="1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2111</v>
      </c>
    </row>
    <row r="1084" spans="1:8" ht="1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9822</v>
      </c>
    </row>
    <row r="1093" spans="1:8" ht="1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13440</v>
      </c>
    </row>
    <row r="1094" spans="1:8" ht="1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26756</v>
      </c>
    </row>
    <row r="1099" spans="1:8" ht="1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26756</v>
      </c>
    </row>
    <row r="1100" spans="1:8" ht="1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26756</v>
      </c>
    </row>
    <row r="1109" spans="1:8" ht="1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26756</v>
      </c>
    </row>
    <row r="1137" spans="1:8" ht="1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46">
      <selection activeCell="D65" sqref="D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34642</v>
      </c>
      <c r="H12" s="196">
        <v>34642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3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>
        <v>60745</v>
      </c>
      <c r="D18" s="196">
        <v>26970</v>
      </c>
      <c r="E18" s="481" t="s">
        <v>47</v>
      </c>
      <c r="F18" s="480" t="s">
        <v>48</v>
      </c>
      <c r="G18" s="609">
        <f>G12+G15+G16+G17</f>
        <v>34642</v>
      </c>
      <c r="H18" s="610">
        <f>H12+H15+H16+H17</f>
        <v>34642</v>
      </c>
    </row>
    <row r="19" spans="1:8" ht="15.75">
      <c r="A19" s="89" t="s">
        <v>49</v>
      </c>
      <c r="B19" s="91" t="s">
        <v>50</v>
      </c>
      <c r="C19" s="197">
        <v>4</v>
      </c>
      <c r="D19" s="196">
        <v>16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60752</v>
      </c>
      <c r="D20" s="598">
        <f>SUM(D12:D19)</f>
        <v>26991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.75">
      <c r="A21" s="100" t="s">
        <v>56</v>
      </c>
      <c r="B21" s="96" t="s">
        <v>57</v>
      </c>
      <c r="C21" s="476">
        <v>82834</v>
      </c>
      <c r="D21" s="477">
        <v>83218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59380</v>
      </c>
      <c r="H26" s="598">
        <f>H20+H21+H22</f>
        <v>59380</v>
      </c>
      <c r="M26" s="98"/>
    </row>
    <row r="27" spans="1:8" ht="15.75">
      <c r="A27" s="89" t="s">
        <v>79</v>
      </c>
      <c r="B27" s="91" t="s">
        <v>80</v>
      </c>
      <c r="C27" s="197">
        <v>7</v>
      </c>
      <c r="D27" s="196">
        <v>12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</v>
      </c>
      <c r="D28" s="598">
        <f>SUM(D24:D27)</f>
        <v>12</v>
      </c>
      <c r="E28" s="202" t="s">
        <v>84</v>
      </c>
      <c r="F28" s="93" t="s">
        <v>85</v>
      </c>
      <c r="G28" s="595">
        <f>SUM(G29:G31)</f>
        <v>11366</v>
      </c>
      <c r="H28" s="596">
        <f>SUM(H29:H31)</f>
        <v>11461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11366</v>
      </c>
      <c r="H29" s="196">
        <v>11461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2882</v>
      </c>
      <c r="H32" s="196">
        <v>193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14248</v>
      </c>
      <c r="H34" s="598">
        <f>H28+H32+H33</f>
        <v>11654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108270</v>
      </c>
      <c r="H37" s="600">
        <f>H26+H18+H34</f>
        <v>105676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30374</f>
        <v>30374</v>
      </c>
      <c r="H45" s="196">
        <v>5396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30374</v>
      </c>
      <c r="H50" s="596">
        <f>SUM(H44:H49)</f>
        <v>5397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143593</v>
      </c>
      <c r="D56" s="602">
        <f>D20+D21+D22+D28+D33+D46+D52+D54+D55</f>
        <v>110221</v>
      </c>
      <c r="E56" s="100" t="s">
        <v>850</v>
      </c>
      <c r="F56" s="99" t="s">
        <v>172</v>
      </c>
      <c r="G56" s="599">
        <f>G50+G52+G53+G54+G55</f>
        <v>30374</v>
      </c>
      <c r="H56" s="600">
        <f>H50+H52+H53+H54+H55</f>
        <v>5397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">
      <c r="A59" s="89" t="s">
        <v>176</v>
      </c>
      <c r="B59" s="91" t="s">
        <v>177</v>
      </c>
      <c r="C59" s="197">
        <v>5</v>
      </c>
      <c r="D59" s="196">
        <v>2</v>
      </c>
      <c r="E59" s="201" t="s">
        <v>180</v>
      </c>
      <c r="F59" s="486" t="s">
        <v>181</v>
      </c>
      <c r="G59" s="197">
        <v>24</v>
      </c>
      <c r="H59" s="196">
        <v>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3618</f>
        <v>3618</v>
      </c>
      <c r="H60" s="196">
        <v>1245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6175</v>
      </c>
      <c r="H61" s="596">
        <f>SUM(H62:H68)</f>
        <v>1670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4062</v>
      </c>
      <c r="H62" s="196">
        <v>505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>
        <v>882</v>
      </c>
      <c r="D64" s="196">
        <v>1258</v>
      </c>
      <c r="E64" s="89" t="s">
        <v>199</v>
      </c>
      <c r="F64" s="93" t="s">
        <v>200</v>
      </c>
      <c r="G64" s="197">
        <v>2111</v>
      </c>
      <c r="H64" s="196">
        <v>1163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887</v>
      </c>
      <c r="D65" s="598">
        <f>SUM(D59:D64)</f>
        <v>1260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59</v>
      </c>
      <c r="D68" s="196">
        <v>17</v>
      </c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>
        <v>330</v>
      </c>
      <c r="D69" s="196">
        <v>400</v>
      </c>
      <c r="E69" s="201" t="s">
        <v>79</v>
      </c>
      <c r="F69" s="93" t="s">
        <v>216</v>
      </c>
      <c r="G69" s="197">
        <v>5</v>
      </c>
      <c r="H69" s="196">
        <v>17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>
        <v>2590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9822</v>
      </c>
      <c r="H71" s="598">
        <f>H59+H60+H61+H69+H70</f>
        <v>5528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2861</v>
      </c>
      <c r="D73" s="196">
        <v>516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3250</v>
      </c>
      <c r="D76" s="598">
        <f>SUM(D68:D75)</f>
        <v>933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9822</v>
      </c>
      <c r="H79" s="600">
        <f>H71+H73+H75+H77</f>
        <v>5528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>
        <v>5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370</v>
      </c>
      <c r="D89" s="196">
        <v>3552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>
        <v>23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371</v>
      </c>
      <c r="D92" s="598">
        <f>SUM(D88:D91)</f>
        <v>3580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365</v>
      </c>
      <c r="D93" s="479">
        <v>607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4873</v>
      </c>
      <c r="D94" s="602">
        <f>D65+D76+D85+D92+D93</f>
        <v>6380</v>
      </c>
      <c r="E94" s="227"/>
      <c r="F94" s="228"/>
      <c r="G94" s="624"/>
      <c r="H94" s="625"/>
      <c r="M94" s="98"/>
    </row>
    <row r="95" spans="1:8" ht="30.75" thickBot="1">
      <c r="A95" s="487" t="s">
        <v>265</v>
      </c>
      <c r="B95" s="488" t="s">
        <v>266</v>
      </c>
      <c r="C95" s="603">
        <f>C94+C56</f>
        <v>148466</v>
      </c>
      <c r="D95" s="604">
        <f>D94+D56</f>
        <v>116601</v>
      </c>
      <c r="E95" s="229" t="s">
        <v>942</v>
      </c>
      <c r="F95" s="489" t="s">
        <v>268</v>
      </c>
      <c r="G95" s="603">
        <f>G37+G40+G56+G79</f>
        <v>148466</v>
      </c>
      <c r="H95" s="604">
        <f>H37+H40+H56+H79</f>
        <v>116601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44498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Александър Кирилов Георгиев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6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1">
      <selection activeCell="D22" sqref="D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131350366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37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1372</v>
      </c>
      <c r="D13" s="317">
        <v>1416</v>
      </c>
      <c r="E13" s="194" t="s">
        <v>281</v>
      </c>
      <c r="F13" s="240" t="s">
        <v>282</v>
      </c>
      <c r="G13" s="316">
        <v>815</v>
      </c>
      <c r="H13" s="317">
        <v>42</v>
      </c>
    </row>
    <row r="14" spans="1:8" ht="15">
      <c r="A14" s="194" t="s">
        <v>283</v>
      </c>
      <c r="B14" s="190" t="s">
        <v>284</v>
      </c>
      <c r="C14" s="316">
        <v>19</v>
      </c>
      <c r="D14" s="317">
        <v>14</v>
      </c>
      <c r="E14" s="245" t="s">
        <v>285</v>
      </c>
      <c r="F14" s="240" t="s">
        <v>286</v>
      </c>
      <c r="G14" s="316">
        <v>5100</v>
      </c>
      <c r="H14" s="317">
        <v>5276</v>
      </c>
    </row>
    <row r="15" spans="1:8" ht="15">
      <c r="A15" s="194" t="s">
        <v>287</v>
      </c>
      <c r="B15" s="190" t="s">
        <v>288</v>
      </c>
      <c r="C15" s="316">
        <v>99</v>
      </c>
      <c r="D15" s="317">
        <v>106</v>
      </c>
      <c r="E15" s="245" t="s">
        <v>79</v>
      </c>
      <c r="F15" s="240" t="s">
        <v>289</v>
      </c>
      <c r="G15" s="316">
        <v>43</v>
      </c>
      <c r="H15" s="317">
        <v>19</v>
      </c>
    </row>
    <row r="16" spans="1:8" ht="15.75">
      <c r="A16" s="194" t="s">
        <v>290</v>
      </c>
      <c r="B16" s="190" t="s">
        <v>291</v>
      </c>
      <c r="C16" s="316">
        <v>12</v>
      </c>
      <c r="D16" s="317">
        <v>15</v>
      </c>
      <c r="E16" s="236" t="s">
        <v>52</v>
      </c>
      <c r="F16" s="264" t="s">
        <v>292</v>
      </c>
      <c r="G16" s="628">
        <f>SUM(G12:G15)</f>
        <v>5958</v>
      </c>
      <c r="H16" s="629">
        <f>SUM(H12:H15)</f>
        <v>5337</v>
      </c>
    </row>
    <row r="17" spans="1:8" ht="30">
      <c r="A17" s="194" t="s">
        <v>293</v>
      </c>
      <c r="B17" s="190" t="s">
        <v>294</v>
      </c>
      <c r="C17" s="316">
        <v>759</v>
      </c>
      <c r="D17" s="317">
        <v>42</v>
      </c>
      <c r="E17" s="245"/>
      <c r="F17" s="237"/>
      <c r="G17" s="193"/>
      <c r="H17" s="243"/>
    </row>
    <row r="18" spans="1:8" ht="30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282</v>
      </c>
      <c r="D19" s="317">
        <v>274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2580</v>
      </c>
      <c r="D22" s="629">
        <f>SUM(D12:D18)+D19</f>
        <v>1874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">
      <c r="A25" s="194" t="s">
        <v>316</v>
      </c>
      <c r="B25" s="237" t="s">
        <v>317</v>
      </c>
      <c r="C25" s="316">
        <v>492</v>
      </c>
      <c r="D25" s="317">
        <v>183</v>
      </c>
      <c r="E25" s="194" t="s">
        <v>318</v>
      </c>
      <c r="F25" s="237" t="s">
        <v>319</v>
      </c>
      <c r="G25" s="316"/>
      <c r="H25" s="317"/>
    </row>
    <row r="26" spans="1:8" ht="30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496</v>
      </c>
      <c r="D29" s="629">
        <f>SUM(D25:D28)</f>
        <v>185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3076</v>
      </c>
      <c r="D31" s="635">
        <f>D29+D22</f>
        <v>2059</v>
      </c>
      <c r="E31" s="251" t="s">
        <v>824</v>
      </c>
      <c r="F31" s="266" t="s">
        <v>331</v>
      </c>
      <c r="G31" s="253">
        <f>G16+G18+G27</f>
        <v>5958</v>
      </c>
      <c r="H31" s="254">
        <f>H16+H18+H27</f>
        <v>5337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2882</v>
      </c>
      <c r="D33" s="244">
        <f>IF((H31-D31)&gt;0,H31-D31,0)</f>
        <v>3278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3076</v>
      </c>
      <c r="D36" s="637">
        <f>D31-D34+D35</f>
        <v>2059</v>
      </c>
      <c r="E36" s="262" t="s">
        <v>346</v>
      </c>
      <c r="F36" s="256" t="s">
        <v>347</v>
      </c>
      <c r="G36" s="267">
        <f>G35-G34+G31</f>
        <v>5958</v>
      </c>
      <c r="H36" s="268">
        <f>H35-H34+H31</f>
        <v>5337</v>
      </c>
    </row>
    <row r="37" spans="1:8" ht="15.75">
      <c r="A37" s="261" t="s">
        <v>348</v>
      </c>
      <c r="B37" s="231" t="s">
        <v>349</v>
      </c>
      <c r="C37" s="634">
        <f>IF((G36-C36)&gt;0,G36-C36,0)</f>
        <v>2882</v>
      </c>
      <c r="D37" s="635">
        <f>IF((H36-D36)&gt;0,H36-D36,0)</f>
        <v>3278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2882</v>
      </c>
      <c r="D42" s="244">
        <f>+IF((H36-D36-D38)&gt;0,H36-D36-D38,0)</f>
        <v>3278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2882</v>
      </c>
      <c r="D44" s="268">
        <f>IF(H42=0,IF(D42-D43&gt;0,D42-D43+H43,0),IF(H42-H43&lt;0,H43-H42+D42,0))</f>
        <v>3278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5958</v>
      </c>
      <c r="D45" s="631">
        <f>D36+D38+D42</f>
        <v>5337</v>
      </c>
      <c r="E45" s="270" t="s">
        <v>373</v>
      </c>
      <c r="F45" s="272" t="s">
        <v>374</v>
      </c>
      <c r="G45" s="630">
        <f>G42+G36</f>
        <v>5958</v>
      </c>
      <c r="H45" s="631">
        <f>H42+H36</f>
        <v>5337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44498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Александър Кирилов Георгиев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7">
      <selection activeCell="C50" sqref="C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ФОНД ЗА НЕДВИЖИМИ ИМОТИ БЪЛГАРИЯ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131350366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9046</v>
      </c>
      <c r="D11" s="196">
        <v>7626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-10240</v>
      </c>
      <c r="D12" s="196">
        <v>-4762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-132</v>
      </c>
      <c r="D14" s="196">
        <v>-128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3012</v>
      </c>
      <c r="D15" s="196">
        <v>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-4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1682</v>
      </c>
      <c r="D21" s="659">
        <f>SUM(D11:D20)</f>
        <v>2745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-29814</v>
      </c>
      <c r="D28" s="196">
        <v>-11174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415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-29399</v>
      </c>
      <c r="D33" s="659">
        <f>SUM(D23:D32)</f>
        <v>-11174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28700</v>
      </c>
      <c r="D37" s="196"/>
      <c r="E37" s="177"/>
      <c r="F37" s="177"/>
    </row>
    <row r="38" spans="1:6" ht="15">
      <c r="A38" s="277" t="s">
        <v>429</v>
      </c>
      <c r="B38" s="178" t="s">
        <v>430</v>
      </c>
      <c r="C38" s="197">
        <v>-932</v>
      </c>
      <c r="D38" s="196">
        <v>-903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">
      <c r="A40" s="277" t="s">
        <v>433</v>
      </c>
      <c r="B40" s="178" t="s">
        <v>434</v>
      </c>
      <c r="C40" s="197">
        <v>-432</v>
      </c>
      <c r="D40" s="196">
        <v>-179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-2828</v>
      </c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24508</v>
      </c>
      <c r="D43" s="661">
        <f>SUM(D35:D42)</f>
        <v>-1082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-3209</v>
      </c>
      <c r="D44" s="307">
        <f>D43+D33+D21</f>
        <v>-9511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3580</v>
      </c>
      <c r="D45" s="309">
        <v>22452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371</v>
      </c>
      <c r="D46" s="311">
        <f>D45+D44</f>
        <v>12941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371</v>
      </c>
      <c r="D47" s="298">
        <v>12916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>
        <v>25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44498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Александър Кирилов Георгиев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3:E63"/>
    <mergeCell ref="B64:E64"/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6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131350366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'1 - Баланс'!H18</f>
        <v>34642</v>
      </c>
      <c r="D13" s="584">
        <f>'1 - Баланс'!H20</f>
        <v>59380</v>
      </c>
      <c r="E13" s="584">
        <f>'1 - Баланс'!H21</f>
        <v>0</v>
      </c>
      <c r="F13" s="584">
        <f>'1 - Баланс'!H23</f>
        <v>0</v>
      </c>
      <c r="G13" s="584">
        <f>'1 - Баланс'!H24</f>
        <v>0</v>
      </c>
      <c r="H13" s="585"/>
      <c r="I13" s="584">
        <f>'1 - Баланс'!H29+'1 - Баланс'!H32</f>
        <v>11654</v>
      </c>
      <c r="J13" s="584">
        <f>'1 - Баланс'!H30+'1 - Баланс'!H33</f>
        <v>0</v>
      </c>
      <c r="K13" s="585"/>
      <c r="L13" s="584">
        <f>SUM(C13:K13)</f>
        <v>105676</v>
      </c>
      <c r="M13" s="586">
        <f>'1 - 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">
      <c r="A17" s="547" t="s">
        <v>475</v>
      </c>
      <c r="B17" s="548" t="s">
        <v>476</v>
      </c>
      <c r="C17" s="653">
        <f>C13+C14</f>
        <v>34642</v>
      </c>
      <c r="D17" s="653">
        <f aca="true" t="shared" si="2" ref="D17:M17">D13+D14</f>
        <v>59380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11654</v>
      </c>
      <c r="J17" s="653">
        <f t="shared" si="2"/>
        <v>0</v>
      </c>
      <c r="K17" s="653">
        <f t="shared" si="2"/>
        <v>0</v>
      </c>
      <c r="L17" s="584">
        <f t="shared" si="1"/>
        <v>105676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+'1 - Баланс'!G32</f>
        <v>2882</v>
      </c>
      <c r="J18" s="584">
        <f>+'1 - Баланс'!G33</f>
        <v>0</v>
      </c>
      <c r="K18" s="585"/>
      <c r="L18" s="584">
        <f t="shared" si="1"/>
        <v>2882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-288</v>
      </c>
      <c r="J19" s="168">
        <f>J20+J21</f>
        <v>0</v>
      </c>
      <c r="K19" s="168">
        <f t="shared" si="3"/>
        <v>0</v>
      </c>
      <c r="L19" s="584">
        <f t="shared" si="1"/>
        <v>-288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-288</v>
      </c>
      <c r="J20" s="316"/>
      <c r="K20" s="316"/>
      <c r="L20" s="584">
        <f>SUM(C20:K20)</f>
        <v>-288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34642</v>
      </c>
      <c r="D31" s="653">
        <f aca="true" t="shared" si="6" ref="D31:M31">D19+D22+D23+D26+D30+D29+D17+D18</f>
        <v>59380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14248</v>
      </c>
      <c r="J31" s="653">
        <f t="shared" si="6"/>
        <v>0</v>
      </c>
      <c r="K31" s="653">
        <f t="shared" si="6"/>
        <v>0</v>
      </c>
      <c r="L31" s="584">
        <f t="shared" si="1"/>
        <v>108270</v>
      </c>
      <c r="M31" s="654">
        <f t="shared" si="6"/>
        <v>0</v>
      </c>
      <c r="N31" s="166"/>
    </row>
    <row r="32" spans="1:14" ht="30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0.7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.75" thickBot="1">
      <c r="A34" s="555" t="s">
        <v>507</v>
      </c>
      <c r="B34" s="556" t="s">
        <v>508</v>
      </c>
      <c r="C34" s="587">
        <f aca="true" t="shared" si="7" ref="C34:K34">C31+C32+C33</f>
        <v>34642</v>
      </c>
      <c r="D34" s="587">
        <f t="shared" si="7"/>
        <v>59380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14248</v>
      </c>
      <c r="J34" s="587">
        <f t="shared" si="7"/>
        <v>0</v>
      </c>
      <c r="K34" s="587">
        <f t="shared" si="7"/>
        <v>0</v>
      </c>
      <c r="L34" s="651">
        <f t="shared" si="1"/>
        <v>108270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44498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Александър Кирилов Георгиев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44498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Александър Кирилов Георгиев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6">
      <selection activeCell="L32" sqref="L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19</v>
      </c>
      <c r="E16" s="328"/>
      <c r="F16" s="328"/>
      <c r="G16" s="329">
        <f t="shared" si="2"/>
        <v>19</v>
      </c>
      <c r="H16" s="328"/>
      <c r="I16" s="328"/>
      <c r="J16" s="329">
        <f t="shared" si="3"/>
        <v>19</v>
      </c>
      <c r="K16" s="328">
        <v>15</v>
      </c>
      <c r="L16" s="328">
        <v>1</v>
      </c>
      <c r="M16" s="328"/>
      <c r="N16" s="329">
        <f t="shared" si="4"/>
        <v>16</v>
      </c>
      <c r="O16" s="328"/>
      <c r="P16" s="328"/>
      <c r="Q16" s="329">
        <f t="shared" si="0"/>
        <v>16</v>
      </c>
      <c r="R16" s="340">
        <f t="shared" si="1"/>
        <v>3</v>
      </c>
    </row>
    <row r="17" spans="1:18" s="154" customFormat="1" ht="30">
      <c r="A17" s="339" t="s">
        <v>538</v>
      </c>
      <c r="B17" s="155" t="s">
        <v>539</v>
      </c>
      <c r="C17" s="153" t="s">
        <v>540</v>
      </c>
      <c r="D17" s="328">
        <v>26970</v>
      </c>
      <c r="E17" s="328">
        <v>33775</v>
      </c>
      <c r="F17" s="328"/>
      <c r="G17" s="329">
        <f t="shared" si="2"/>
        <v>60745</v>
      </c>
      <c r="H17" s="328"/>
      <c r="I17" s="328"/>
      <c r="J17" s="329">
        <f t="shared" si="3"/>
        <v>60745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60745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29</v>
      </c>
      <c r="E18" s="328"/>
      <c r="F18" s="328"/>
      <c r="G18" s="329">
        <f t="shared" si="2"/>
        <v>29</v>
      </c>
      <c r="H18" s="328"/>
      <c r="I18" s="328"/>
      <c r="J18" s="329">
        <f t="shared" si="3"/>
        <v>29</v>
      </c>
      <c r="K18" s="328">
        <v>16</v>
      </c>
      <c r="L18" s="328">
        <v>9</v>
      </c>
      <c r="M18" s="328"/>
      <c r="N18" s="329">
        <f t="shared" si="4"/>
        <v>25</v>
      </c>
      <c r="O18" s="328"/>
      <c r="P18" s="328"/>
      <c r="Q18" s="329">
        <f t="shared" si="0"/>
        <v>25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27018</v>
      </c>
      <c r="E19" s="330">
        <f>SUM(E11:E18)</f>
        <v>33775</v>
      </c>
      <c r="F19" s="330">
        <f>SUM(F11:F18)</f>
        <v>0</v>
      </c>
      <c r="G19" s="329">
        <f t="shared" si="2"/>
        <v>60793</v>
      </c>
      <c r="H19" s="330">
        <f>SUM(H11:H18)</f>
        <v>0</v>
      </c>
      <c r="I19" s="330">
        <f>SUM(I11:I18)</f>
        <v>0</v>
      </c>
      <c r="J19" s="329">
        <f t="shared" si="3"/>
        <v>60793</v>
      </c>
      <c r="K19" s="330">
        <f>SUM(K11:K18)</f>
        <v>31</v>
      </c>
      <c r="L19" s="330">
        <f>SUM(L11:L18)</f>
        <v>10</v>
      </c>
      <c r="M19" s="330">
        <f>SUM(M11:M18)</f>
        <v>0</v>
      </c>
      <c r="N19" s="329">
        <f t="shared" si="4"/>
        <v>41</v>
      </c>
      <c r="O19" s="330">
        <f>SUM(O11:O18)</f>
        <v>0</v>
      </c>
      <c r="P19" s="330">
        <f>SUM(P11:P18)</f>
        <v>0</v>
      </c>
      <c r="Q19" s="329">
        <f t="shared" si="0"/>
        <v>41</v>
      </c>
      <c r="R19" s="340">
        <f t="shared" si="1"/>
        <v>60752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83218</v>
      </c>
      <c r="E20" s="328"/>
      <c r="F20" s="328">
        <v>384</v>
      </c>
      <c r="G20" s="329">
        <f t="shared" si="2"/>
        <v>82834</v>
      </c>
      <c r="H20" s="328"/>
      <c r="I20" s="328"/>
      <c r="J20" s="329">
        <f t="shared" si="3"/>
        <v>82834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82834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48</v>
      </c>
      <c r="E26" s="328"/>
      <c r="F26" s="328"/>
      <c r="G26" s="329">
        <f t="shared" si="2"/>
        <v>48</v>
      </c>
      <c r="H26" s="328"/>
      <c r="I26" s="328"/>
      <c r="J26" s="329">
        <f t="shared" si="3"/>
        <v>48</v>
      </c>
      <c r="K26" s="328">
        <v>32</v>
      </c>
      <c r="L26" s="328">
        <v>9</v>
      </c>
      <c r="M26" s="328"/>
      <c r="N26" s="329">
        <f t="shared" si="4"/>
        <v>41</v>
      </c>
      <c r="O26" s="328"/>
      <c r="P26" s="328"/>
      <c r="Q26" s="329">
        <f t="shared" si="0"/>
        <v>41</v>
      </c>
      <c r="R26" s="340">
        <f t="shared" si="1"/>
        <v>7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48</v>
      </c>
      <c r="H27" s="332">
        <f t="shared" si="5"/>
        <v>0</v>
      </c>
      <c r="I27" s="332">
        <f t="shared" si="5"/>
        <v>0</v>
      </c>
      <c r="J27" s="333">
        <f t="shared" si="3"/>
        <v>48</v>
      </c>
      <c r="K27" s="332">
        <f t="shared" si="5"/>
        <v>32</v>
      </c>
      <c r="L27" s="332">
        <f t="shared" si="5"/>
        <v>9</v>
      </c>
      <c r="M27" s="332">
        <f t="shared" si="5"/>
        <v>0</v>
      </c>
      <c r="N27" s="333">
        <f t="shared" si="4"/>
        <v>41</v>
      </c>
      <c r="O27" s="332">
        <f t="shared" si="5"/>
        <v>0</v>
      </c>
      <c r="P27" s="332">
        <f t="shared" si="5"/>
        <v>0</v>
      </c>
      <c r="Q27" s="333">
        <f t="shared" si="0"/>
        <v>41</v>
      </c>
      <c r="R27" s="343">
        <f t="shared" si="1"/>
        <v>7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110284</v>
      </c>
      <c r="E42" s="349">
        <f>E19+E20+E21+E27+E40+E41</f>
        <v>33775</v>
      </c>
      <c r="F42" s="349">
        <f aca="true" t="shared" si="11" ref="F42:R42">F19+F20+F21+F27+F40+F41</f>
        <v>384</v>
      </c>
      <c r="G42" s="349">
        <f t="shared" si="11"/>
        <v>143675</v>
      </c>
      <c r="H42" s="349">
        <f t="shared" si="11"/>
        <v>0</v>
      </c>
      <c r="I42" s="349">
        <f t="shared" si="11"/>
        <v>0</v>
      </c>
      <c r="J42" s="349">
        <f t="shared" si="11"/>
        <v>143675</v>
      </c>
      <c r="K42" s="349">
        <f t="shared" si="11"/>
        <v>63</v>
      </c>
      <c r="L42" s="349">
        <f t="shared" si="11"/>
        <v>19</v>
      </c>
      <c r="M42" s="349">
        <f t="shared" si="11"/>
        <v>0</v>
      </c>
      <c r="N42" s="349">
        <f t="shared" si="11"/>
        <v>82</v>
      </c>
      <c r="O42" s="349">
        <f t="shared" si="11"/>
        <v>0</v>
      </c>
      <c r="P42" s="349">
        <f t="shared" si="11"/>
        <v>0</v>
      </c>
      <c r="Q42" s="349">
        <f t="shared" si="11"/>
        <v>82</v>
      </c>
      <c r="R42" s="350">
        <f t="shared" si="11"/>
        <v>143593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44498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Александър Кирилов Георгиев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61">
      <selection activeCell="L109" sqref="L10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59</v>
      </c>
      <c r="D26" s="362">
        <f>SUM(D27:D29)</f>
        <v>59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f>'1 - Баланс'!C68</f>
        <v>59</v>
      </c>
      <c r="D29" s="368">
        <f>C29</f>
        <v>59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'1 - Баланс'!C69</f>
        <v>330</v>
      </c>
      <c r="D30" s="368">
        <f>C30</f>
        <v>330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2861</v>
      </c>
      <c r="D35" s="362">
        <f>SUM(D36:D39)</f>
        <v>2861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'1 - Баланс'!C73</f>
        <v>2861</v>
      </c>
      <c r="D37" s="368">
        <f>C37</f>
        <v>2861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3250</v>
      </c>
      <c r="D45" s="438">
        <f>D26+D30+D31+D33+D32+D34+D35+D40</f>
        <v>3250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3250</v>
      </c>
      <c r="D46" s="444">
        <f>D45+D23+D21+D11</f>
        <v>3250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">
      <c r="A58" s="370" t="s">
        <v>669</v>
      </c>
      <c r="B58" s="135" t="s">
        <v>670</v>
      </c>
      <c r="C58" s="138">
        <f>C59+C61</f>
        <v>30374</v>
      </c>
      <c r="D58" s="138">
        <f>D59+D61</f>
        <v>3618</v>
      </c>
      <c r="E58" s="136">
        <f t="shared" si="1"/>
        <v>26756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'1 - Баланс'!G45</f>
        <v>30374</v>
      </c>
      <c r="D59" s="197">
        <f>'1 - Баланс'!G60</f>
        <v>3618</v>
      </c>
      <c r="E59" s="136">
        <f t="shared" si="1"/>
        <v>26756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f>'1 - Баланс'!G49</f>
        <v>0</v>
      </c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30374</v>
      </c>
      <c r="D68" s="435">
        <f>D54+D58+D63+D64+D65+D66</f>
        <v>3618</v>
      </c>
      <c r="E68" s="436">
        <f t="shared" si="1"/>
        <v>26756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4062</v>
      </c>
      <c r="D73" s="137">
        <f>SUM(D74:D76)</f>
        <v>4062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f>'1 - Баланс'!G62</f>
        <v>4062</v>
      </c>
      <c r="D74" s="197">
        <f>C74</f>
        <v>4062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">
      <c r="A77" s="370" t="s">
        <v>669</v>
      </c>
      <c r="B77" s="135" t="s">
        <v>699</v>
      </c>
      <c r="C77" s="138">
        <f>C78+C80</f>
        <v>24</v>
      </c>
      <c r="D77" s="138">
        <f>D78+D80</f>
        <v>24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'1 - Баланс'!G59</f>
        <v>24</v>
      </c>
      <c r="D78" s="197">
        <f>C78</f>
        <v>24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3618</v>
      </c>
      <c r="D82" s="138">
        <f>SUM(D83:D86)</f>
        <v>3618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">
      <c r="A85" s="370" t="s">
        <v>713</v>
      </c>
      <c r="B85" s="135" t="s">
        <v>714</v>
      </c>
      <c r="C85" s="197">
        <f>'1 - Баланс'!G60</f>
        <v>3618</v>
      </c>
      <c r="D85" s="197">
        <f>C85</f>
        <v>3618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2113</v>
      </c>
      <c r="D87" s="134">
        <f>SUM(D88:D92)+D96</f>
        <v>2113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'1 - Баланс'!G64</f>
        <v>2111</v>
      </c>
      <c r="D89" s="197">
        <f>C89</f>
        <v>2111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'1 - Баланс'!G66</f>
        <v>2</v>
      </c>
      <c r="D91" s="197">
        <f>C91</f>
        <v>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f>'1 - Баланс'!G68</f>
        <v>0</v>
      </c>
      <c r="D95" s="197">
        <f>C95</f>
        <v>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'1 - Баланс'!G69</f>
        <v>5</v>
      </c>
      <c r="D97" s="197">
        <f>C97</f>
        <v>5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9822</v>
      </c>
      <c r="D98" s="433">
        <f>D87+D82+D77+D73+D97</f>
        <v>9822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40196</v>
      </c>
      <c r="D99" s="427">
        <f>D98+D70+D68</f>
        <v>13440</v>
      </c>
      <c r="E99" s="427">
        <f>E98+E70+E68</f>
        <v>26756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f>'1 - Баланс'!G70</f>
        <v>0</v>
      </c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44498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Александър Кирилов Георгиев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131350366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44498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Александър Кирилов Георгиев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41:I4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2021-10-29T09:36:33Z</cp:lastPrinted>
  <dcterms:created xsi:type="dcterms:W3CDTF">2006-09-16T00:00:00Z</dcterms:created>
  <dcterms:modified xsi:type="dcterms:W3CDTF">2021-11-01T13:36:27Z</dcterms:modified>
  <cp:category/>
  <cp:version/>
  <cp:contentType/>
  <cp:contentStatus/>
</cp:coreProperties>
</file>