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спр.№6-в т.ч.Франция" sheetId="9" r:id="rId9"/>
    <sheet name="спр.№6-в т.ч.Испания" sheetId="10" r:id="rId10"/>
    <sheet name="спр.№6-в т.ч.Италия" sheetId="11" r:id="rId11"/>
    <sheet name="спр.№6-в т.ч.Германия" sheetId="12" r:id="rId12"/>
  </sheets>
  <externalReferences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<sst xmlns="http://schemas.openxmlformats.org/spreadsheetml/2006/main" count="1880" uniqueCount="881">
  <si>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</si>
  <si>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</si>
  <si>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</si>
  <si>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</si>
  <si>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</si>
  <si>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</si>
  <si>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</si>
  <si>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</si>
  <si>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</si>
  <si>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</si>
  <si>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</si>
  <si>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</si>
  <si>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</si>
  <si>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</si>
  <si>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</si>
  <si>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</si>
  <si>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</si>
  <si>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</si>
  <si>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</si>
  <si>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</si>
  <si>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</si>
  <si>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</si>
  <si>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</si>
  <si>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</si>
  <si>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</si>
  <si>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</si>
  <si>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</si>
  <si>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</si>
  <si>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</si>
  <si>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</si>
  <si>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</si>
  <si>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</si>
  <si>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</si>
  <si>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</si>
  <si>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</si>
  <si>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</si>
  <si>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</si>
  <si>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</si>
  <si>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</si>
  <si>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</si>
  <si>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</si>
  <si>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</si>
  <si>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</si>
  <si>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</si>
  <si>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</si>
  <si>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</si>
  <si>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</si>
  <si>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</si>
  <si>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</si>
  <si>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</si>
  <si>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</si>
  <si>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</si>
  <si>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</si>
  <si>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</si>
  <si>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</si>
  <si>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</si>
  <si>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</si>
  <si>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</si>
  <si>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</si>
  <si>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</si>
  <si>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</si>
  <si>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</si>
  <si>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</si>
  <si>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</si>
  <si>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</si>
  <si>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</si>
  <si>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</si>
  <si>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</si>
  <si>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</si>
  <si>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</si>
  <si>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</si>
  <si>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</si>
  <si>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</si>
  <si>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</si>
  <si>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</si>
  <si>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</si>
  <si>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</si>
  <si>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</si>
  <si>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</si>
  <si>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</si>
  <si>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</si>
  <si>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</si>
  <si>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</si>
  <si>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</si>
  <si>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</si>
  <si>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</si>
  <si>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</si>
  <si>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</si>
  <si>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</si>
  <si>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</si>
  <si>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</si>
  <si>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</si>
  <si>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</si>
  <si>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</si>
  <si>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</si>
  <si>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</si>
  <si>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</si>
  <si>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</si>
  <si>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</si>
  <si>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</si>
  <si>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</si>
  <si>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</si>
  <si>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</si>
  <si>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</si>
  <si>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</si>
  <si>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</si>
  <si>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</si>
  <si>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</si>
  <si>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</si>
  <si>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</si>
  <si>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</si>
  <si>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</si>
  <si>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</si>
  <si>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</si>
  <si>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</si>
  <si>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</si>
  <si>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</si>
  <si>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</si>
  <si>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</si>
  <si>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</si>
  <si>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</si>
  <si>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</si>
  <si>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</si>
  <si>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</si>
  <si>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</si>
  <si>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</si>
  <si>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</si>
  <si>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</si>
  <si>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</si>
  <si>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</si>
  <si>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</si>
  <si>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</si>
  <si>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</si>
  <si>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</si>
  <si>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</si>
  <si>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</si>
  <si>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</si>
  <si>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</si>
  <si>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</si>
  <si>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</si>
  <si>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</si>
  <si>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</si>
  <si>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</si>
  <si>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</si>
  <si>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</si>
  <si>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</si>
  <si>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</si>
  <si>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</si>
  <si>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</si>
  <si>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</si>
  <si>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</si>
  <si>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</si>
  <si>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</si>
  <si>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</si>
  <si>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</si>
  <si>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</si>
  <si>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</si>
  <si>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</si>
  <si>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</si>
  <si>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</si>
  <si>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</si>
  <si>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</si>
  <si>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</si>
  <si>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</si>
  <si>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</si>
  <si>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</si>
  <si>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</si>
  <si>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</si>
  <si>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</si>
  <si>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</si>
  <si>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</si>
  <si>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</si>
  <si>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</si>
  <si>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</si>
  <si>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</si>
  <si>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</si>
  <si>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</si>
  <si>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</si>
  <si>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</si>
  <si>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</si>
  <si>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</si>
  <si>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</si>
  <si>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</si>
  <si>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</si>
  <si>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</si>
  <si>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</si>
  <si>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</si>
  <si>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</si>
  <si>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</si>
  <si>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</si>
  <si>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</si>
  <si>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</si>
  <si>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</si>
  <si>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</si>
  <si>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</si>
  <si>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</si>
  <si>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</si>
  <si>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</si>
  <si>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</si>
  <si>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</si>
  <si>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</si>
  <si>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</si>
  <si>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</si>
  <si>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</si>
  <si>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</si>
  <si>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</si>
  <si>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</si>
  <si>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</si>
  <si>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</si>
  <si>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</si>
  <si>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</si>
  <si>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</si>
  <si>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</si>
  <si>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</si>
  <si>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</si>
  <si>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</si>
  <si>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</si>
  <si>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</si>
  <si>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</si>
  <si>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</si>
  <si>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</si>
  <si>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</si>
  <si>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</si>
  <si>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</si>
  <si>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</si>
  <si>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</si>
  <si>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</si>
  <si>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</si>
  <si>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</si>
  <si>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</si>
  <si>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</si>
  <si>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</si>
  <si>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</si>
  <si>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</si>
  <si>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</si>
  <si>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</si>
  <si>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</si>
  <si>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</si>
  <si>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</si>
  <si>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</si>
  <si>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</si>
  <si>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</si>
  <si>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</si>
  <si>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</si>
  <si>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</si>
  <si>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</si>
  <si>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</si>
  <si>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</si>
  <si>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</si>
  <si>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</si>
  <si>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</si>
  <si>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</si>
  <si>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</si>
  <si>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</si>
  <si>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</si>
  <si>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</si>
  <si>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</si>
  <si>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</si>
  <si>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</si>
  <si>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</si>
  <si>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</si>
  <si>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</si>
  <si>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</si>
  <si>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</si>
  <si>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</si>
  <si>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</si>
  <si>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</si>
  <si>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</si>
  <si>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</si>
  <si>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</si>
  <si>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</si>
  <si>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</si>
  <si>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</si>
  <si>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</si>
  <si>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</si>
  <si>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</si>
  <si>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</si>
  <si>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</si>
  <si>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</si>
  <si>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</si>
  <si>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</si>
  <si>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</si>
  <si>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</si>
  <si>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</si>
  <si>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</si>
  <si>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</si>
  <si>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</si>
  <si>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</si>
  <si>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</si>
  <si>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</si>
  <si>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</si>
  <si>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</si>
  <si>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</si>
  <si>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</si>
  <si>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</si>
  <si>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</si>
  <si>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</si>
  <si>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</si>
  <si>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</si>
  <si>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</si>
  <si>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</si>
  <si>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</si>
  <si>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</si>
  <si>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</si>
  <si>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</si>
  <si>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</si>
  <si>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</si>
  <si>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</si>
  <si>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</si>
  <si>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</si>
  <si>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</si>
  <si>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</si>
  <si>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</si>
  <si>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</si>
  <si>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</si>
  <si>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</si>
  <si>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</si>
  <si>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</si>
  <si>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</si>
  <si>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</si>
  <si>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</si>
  <si>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</si>
  <si>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</si>
  <si>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</si>
  <si>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</si>
  <si>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</si>
  <si>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</si>
  <si>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</si>
  <si>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</si>
  <si>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</si>
  <si>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</si>
  <si>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</si>
  <si>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</si>
  <si>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</si>
  <si>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</si>
  <si>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</si>
  <si>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</si>
  <si>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</si>
  <si>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</si>
  <si>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</si>
  <si>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</si>
  <si>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</si>
  <si>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</si>
  <si>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</si>
  <si>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</si>
  <si>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</si>
  <si>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</si>
  <si>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</si>
  <si>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</si>
  <si>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</si>
  <si>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</si>
  <si>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</si>
  <si>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</si>
  <si>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</si>
  <si>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</si>
  <si>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</si>
  <si>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</si>
  <si>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</si>
  <si>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</si>
  <si>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</si>
  <si>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</si>
  <si>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</si>
  <si>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</si>
  <si>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</si>
  <si>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</si>
  <si>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</si>
  <si>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</si>
  <si>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</si>
  <si>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</si>
  <si>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</si>
  <si>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</si>
  <si>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</si>
  <si>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</si>
  <si>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</si>
  <si>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</si>
  <si>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</si>
  <si>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</si>
  <si>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</si>
  <si>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</si>
  <si>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</si>
  <si>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</si>
  <si>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</si>
  <si>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</si>
  <si>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</si>
  <si>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</si>
  <si>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</si>
  <si>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</si>
  <si>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</si>
  <si>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</si>
  <si>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</si>
  <si>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</si>
  <si>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</si>
  <si>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</si>
  <si>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</si>
  <si>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</si>
  <si>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</si>
  <si>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</si>
  <si>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</si>
  <si>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</si>
  <si>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</si>
  <si>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</si>
  <si>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</si>
  <si>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</si>
  <si>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</si>
  <si>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</si>
  <si>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</si>
  <si>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</si>
  <si>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</si>
  <si>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</si>
  <si>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</si>
  <si>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</si>
  <si>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</si>
  <si>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</si>
  <si>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</si>
  <si>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</si>
  <si>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</si>
  <si>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</si>
  <si>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</si>
  <si>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</si>
  <si>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</si>
  <si>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</si>
  <si>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</si>
  <si>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</si>
  <si>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</si>
  <si>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</si>
  <si>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</si>
  <si>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</si>
  <si>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</si>
  <si>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</si>
  <si>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</si>
  <si>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</si>
  <si>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</si>
  <si>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</si>
  <si>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</si>
  <si>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</si>
  <si>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</si>
  <si>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</si>
  <si>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</si>
  <si>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</si>
  <si>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</si>
  <si>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</si>
  <si>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</si>
  <si>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</si>
  <si>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</si>
  <si>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</si>
  <si>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</si>
  <si>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</si>
  <si>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</si>
  <si>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</si>
  <si>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</si>
  <si>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</si>
  <si>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</si>
  <si>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</si>
  <si>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</si>
  <si>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</si>
  <si>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</si>
  <si>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</si>
  <si>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</si>
  <si>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</si>
  <si>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</si>
  <si>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</si>
  <si>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</si>
  <si>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</si>
  <si>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</si>
  <si>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</si>
  <si>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</si>
  <si>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</si>
  <si>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</si>
  <si>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</si>
  <si>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</si>
  <si>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</si>
  <si>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</si>
  <si>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</si>
  <si>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</si>
  <si>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</si>
  <si>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</si>
  <si>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</si>
  <si>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</si>
  <si>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</si>
  <si>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</si>
  <si>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</si>
  <si>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</si>
  <si>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</si>
  <si>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</si>
  <si>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</si>
  <si>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</si>
  <si>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</si>
  <si>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</si>
  <si>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</si>
  <si>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</si>
  <si>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</si>
  <si>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</si>
  <si>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</si>
  <si>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</si>
  <si>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</si>
  <si>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</si>
  <si>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</si>
  <si>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</si>
  <si>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</si>
  <si>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</si>
  <si>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</si>
  <si>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</si>
  <si>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</si>
  <si>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</si>
  <si>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</si>
  <si>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</si>
  <si>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</si>
  <si>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</si>
  <si>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</si>
  <si>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</si>
  <si>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</si>
  <si>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</si>
  <si>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</si>
  <si>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</si>
  <si>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</si>
  <si>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</si>
  <si>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</si>
  <si>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</si>
  <si>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</si>
  <si>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</si>
  <si>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</si>
  <si>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</si>
  <si>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</si>
  <si>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</si>
  <si>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</si>
  <si>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</si>
  <si>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</si>
  <si>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</si>
  <si>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</si>
  <si>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</si>
  <si>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</si>
  <si>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</si>
  <si>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</si>
  <si>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</si>
  <si>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</si>
  <si>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</si>
  <si>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</si>
  <si>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</si>
  <si>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</si>
  <si>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</si>
  <si>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</si>
  <si>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</si>
  <si>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</si>
  <si>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</si>
  <si>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</si>
  <si>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</si>
  <si>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</si>
  <si>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</si>
  <si>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</si>
  <si>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</si>
  <si>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</si>
  <si>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</si>
  <si>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</si>
  <si>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</si>
  <si>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</si>
  <si>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</si>
  <si>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</si>
  <si>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</si>
  <si>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</si>
  <si>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</si>
  <si>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</si>
  <si>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</si>
  <si>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</si>
  <si>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</si>
  <si>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</si>
  <si>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</si>
  <si>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</si>
  <si>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</si>
  <si>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</si>
  <si>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</si>
  <si>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</si>
  <si>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</si>
  <si>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</si>
  <si>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</si>
  <si>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</si>
  <si>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</si>
  <si>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</si>
  <si>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</si>
  <si>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</si>
  <si>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</si>
  <si>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</si>
  <si>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</si>
  <si>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</si>
  <si>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</si>
  <si>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</si>
  <si>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</si>
  <si>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</si>
  <si>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</si>
  <si>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</si>
  <si>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</si>
  <si>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</si>
  <si>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</si>
  <si>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</si>
  <si>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</si>
  <si>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</si>
  <si>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</si>
  <si>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</si>
  <si>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</si>
  <si>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</si>
  <si>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</si>
  <si>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</si>
  <si>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</si>
  <si>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</si>
  <si>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</si>
  <si>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</si>
  <si>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</si>
  <si>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</si>
  <si>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</si>
  <si>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</si>
  <si>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</si>
  <si>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</si>
  <si>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</si>
  <si>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</si>
  <si>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</si>
  <si>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</si>
  <si>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</si>
  <si>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</si>
  <si>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</si>
  <si>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</si>
  <si>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</si>
  <si>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</si>
  <si>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</si>
  <si>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</si>
  <si>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</si>
  <si>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</si>
  <si>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</si>
  <si>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</si>
  <si>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</si>
  <si>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</si>
  <si>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</si>
  <si>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</si>
  <si>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</si>
  <si>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</si>
  <si>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</si>
  <si>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</si>
  <si>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</si>
  <si>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</si>
  <si>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</si>
  <si>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</si>
  <si>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</si>
  <si>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</si>
  <si>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</si>
  <si>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</si>
  <si>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</si>
  <si>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</si>
  <si>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</si>
  <si>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</si>
  <si>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</si>
  <si>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</si>
  <si>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</si>
  <si>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</si>
  <si>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</si>
  <si>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</si>
  <si>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</si>
  <si>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</si>
  <si>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</si>
  <si>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</si>
  <si>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</si>
  <si>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</si>
  <si>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</si>
  <si>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</si>
  <si>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</si>
  <si>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</si>
  <si>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</si>
  <si>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</si>
  <si>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</si>
  <si>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</si>
  <si>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</si>
  <si>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</si>
  <si>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</si>
  <si>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</si>
  <si>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</si>
  <si>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</si>
  <si>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</si>
  <si>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</si>
  <si>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</si>
  <si>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</si>
  <si>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</si>
  <si>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</si>
  <si>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</si>
  <si>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</si>
  <si>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</si>
  <si>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</si>
  <si>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</si>
  <si>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</si>
  <si>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</si>
  <si>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</si>
  <si>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</si>
  <si>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</si>
  <si>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</si>
  <si>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</si>
  <si>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</si>
  <si>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</si>
  <si>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</si>
  <si>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</si>
  <si>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</si>
  <si>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</si>
  <si>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</si>
  <si>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</si>
  <si>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</si>
  <si>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</si>
  <si>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</si>
  <si>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</si>
  <si>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</si>
  <si>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</si>
  <si>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</si>
  <si>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</si>
  <si>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</si>
  <si>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</si>
  <si>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</si>
  <si>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</si>
  <si>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</si>
  <si>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</si>
  <si>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</si>
  <si>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</si>
  <si>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</si>
  <si>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</si>
  <si>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</si>
  <si>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</si>
  <si>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</si>
  <si>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</si>
  <si>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</si>
  <si>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</si>
  <si>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</si>
  <si>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</si>
  <si>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</si>
  <si>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</si>
  <si>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</si>
  <si>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</si>
  <si>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</si>
  <si>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</si>
  <si>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</si>
  <si>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</si>
  <si>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</si>
  <si>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</si>
  <si>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</si>
  <si>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</si>
  <si>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</si>
  <si>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</si>
  <si>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</si>
  <si>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</si>
  <si>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</si>
  <si>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</si>
  <si>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</si>
  <si>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</si>
  <si>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</si>
  <si>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</si>
  <si>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</si>
  <si>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</si>
  <si>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</si>
  <si>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</si>
  <si>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</si>
  <si>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</si>
  <si>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</si>
  <si>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</si>
  <si>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</si>
  <si>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</si>
  <si>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</si>
  <si>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</si>
  <si>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</si>
  <si>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</si>
  <si>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</si>
  <si>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</si>
  <si>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</si>
  <si>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</si>
  <si>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</si>
  <si>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</si>
  <si>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</si>
  <si>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</si>
  <si>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</si>
  <si>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</si>
  <si>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</si>
  <si>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</si>
  <si>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</si>
  <si>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</si>
  <si>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</si>
  <si>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</si>
  <si>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</si>
  <si>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</si>
  <si>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</si>
  <si>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</si>
  <si>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</si>
  <si>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</si>
  <si>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</si>
  <si>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</si>
  <si>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</si>
  <si>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</si>
  <si>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</si>
  <si>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</si>
  <si>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</si>
  <si>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</si>
  <si>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</si>
  <si>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</si>
  <si>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</si>
  <si>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</si>
  <si>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</si>
  <si>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</si>
  <si>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</si>
  <si>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</si>
  <si>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</si>
  <si>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</si>
  <si>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</si>
  <si>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</si>
  <si>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</si>
  <si>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</si>
  <si>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</si>
  <si>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</si>
  <si>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</si>
  <si>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</si>
  <si>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</si>
  <si>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</si>
  <si>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</si>
  <si>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</si>
  <si>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</si>
  <si>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</si>
  <si>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</si>
  <si>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</si>
  <si>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</si>
  <si>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</si>
  <si>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</si>
  <si>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</si>
  <si>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</si>
  <si>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</si>
  <si>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</si>
  <si>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</si>
  <si>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</si>
  <si>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</si>
  <si>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</si>
  <si>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</si>
  <si>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</si>
  <si>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</si>
  <si>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</si>
  <si>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</si>
  <si>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</si>
  <si>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</si>
  <si>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</si>
  <si>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</si>
  <si>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</si>
  <si>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</si>
  <si>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</si>
  <si>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</si>
  <si>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</si>
  <si>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</si>
  <si>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</si>
  <si>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</si>
  <si>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</si>
  <si>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</si>
  <si>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</si>
  <si>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</si>
  <si>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</si>
  <si>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</si>
  <si>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</si>
  <si>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</si>
  <si>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</si>
  <si>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</si>
  <si>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</si>
  <si>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</si>
  <si>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</si>
  <si>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</si>
  <si>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</si>
  <si>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</si>
  <si>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</si>
  <si>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</si>
  <si>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</si>
  <si>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</si>
  <si>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01.01.2013-31.03.2013</t>
  </si>
  <si>
    <t>Дата на съставяне: 15.04.2013 г.</t>
  </si>
  <si>
    <t>15.04.2013 г.</t>
  </si>
  <si>
    <t xml:space="preserve">Дата на съставяне:15.04.2013 г.                                       </t>
  </si>
  <si>
    <t xml:space="preserve">Дата  на съставяне: 15.04.2013  г.                                                                                                                          </t>
  </si>
  <si>
    <t xml:space="preserve">Дата на съставяне:15.04.2013 г.             </t>
  </si>
  <si>
    <t>Дата на съставяне:15.04.2013 г.</t>
  </si>
  <si>
    <t>Съставител:Евелина Миленска</t>
  </si>
  <si>
    <t>Ръководител:Бойко Недялков</t>
  </si>
  <si>
    <t xml:space="preserve">А. ВЗЕМАНИЯ        от Франция                                    </t>
  </si>
  <si>
    <t>Б. ЗАДЪЛЖЕНИЯ - Франция</t>
  </si>
  <si>
    <t xml:space="preserve">А. ВЗЕМАНИЯ          от Испания                         </t>
  </si>
  <si>
    <t xml:space="preserve">А. ВЗЕМАНИЯ            Италия             </t>
  </si>
  <si>
    <t>Б. ЗАДЪЛЖЕНИЯ към Италия</t>
  </si>
  <si>
    <t xml:space="preserve">А. ВЗЕМАНИЯ              Германия           </t>
  </si>
  <si>
    <t>Б. ЗАДЪЛЖЕНИЯ към Германия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</si>
</sst>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Times New Roman Cyr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41" fillId="0" borderId="0" xfId="63" applyFont="1" applyAlignment="1" applyProtection="1">
      <alignment vertical="top"/>
      <protection locked="0"/>
    </xf>
    <xf numFmtId="0" fontId="41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42" fillId="0" borderId="0" xfId="62" applyFont="1">
      <alignment/>
      <protection/>
    </xf>
    <xf numFmtId="0" fontId="21" fillId="0" borderId="0" xfId="62" applyFont="1" applyBorder="1">
      <alignment/>
      <protection/>
    </xf>
    <xf numFmtId="0" fontId="42" fillId="0" borderId="0" xfId="62" applyFont="1" applyAlignment="1" applyProtection="1">
      <alignment horizontal="center"/>
      <protection/>
    </xf>
    <xf numFmtId="0" fontId="42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01-12\Mezdinni_FO_97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6 в т.ч.Франция"/>
      <sheetName val="справка №6 в т.ч. Испания"/>
      <sheetName val="справка №6 в т.ч.Италия"/>
      <sheetName val="справка №6 в т.ч.Германия"/>
      <sheetName val="справка №7"/>
      <sheetName val="справка №8"/>
    </sheetNames>
    <sheetDataSet>
      <sheetData sheetId="0">
        <row r="3">
          <cell r="E3" t="str">
            <v> 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13" sqref="B1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819363984</v>
      </c>
    </row>
    <row r="4" spans="1:8" ht="15">
      <c r="A4" s="579" t="s">
        <v>3</v>
      </c>
      <c r="B4" s="585"/>
      <c r="C4" s="585"/>
      <c r="D4" s="585"/>
      <c r="E4" s="504" t="s">
        <v>864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1255</v>
      </c>
      <c r="D12" s="151">
        <v>1298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1889</v>
      </c>
      <c r="D13" s="151">
        <v>2195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105</v>
      </c>
      <c r="D14" s="151">
        <v>116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</v>
      </c>
      <c r="D15" s="151">
        <v>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46+18</f>
        <v>64</v>
      </c>
      <c r="D16" s="151">
        <f>74+19</f>
        <v>93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11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3687</v>
      </c>
      <c r="D19" s="155">
        <f>SUM(D11:D18)</f>
        <v>4049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24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24</v>
      </c>
      <c r="E27" s="253" t="s">
        <v>83</v>
      </c>
      <c r="F27" s="242" t="s">
        <v>84</v>
      </c>
      <c r="G27" s="154">
        <f>SUM(G28:G30)</f>
        <v>701</v>
      </c>
      <c r="H27" s="154">
        <f>SUM(H28:H30)</f>
        <v>703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1142</v>
      </c>
      <c r="H28" s="152">
        <v>1144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</v>
      </c>
      <c r="H32" s="316">
        <v>-51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661</v>
      </c>
      <c r="H33" s="154">
        <f>H27+H31+H32</f>
        <v>652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5307</v>
      </c>
      <c r="H36" s="154">
        <f>H25+H17+H33</f>
        <v>5298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21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867</v>
      </c>
      <c r="H44" s="152">
        <v>1166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34-21</f>
        <v>13</v>
      </c>
      <c r="H48" s="152">
        <v>32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901</v>
      </c>
      <c r="H49" s="154">
        <f>SUM(H43:H48)</f>
        <v>1198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142</v>
      </c>
      <c r="H53" s="152">
        <v>72</v>
      </c>
    </row>
    <row r="54" spans="1:8" ht="15">
      <c r="A54" s="235" t="s">
        <v>166</v>
      </c>
      <c r="B54" s="249" t="s">
        <v>167</v>
      </c>
      <c r="C54" s="151">
        <v>74</v>
      </c>
      <c r="D54" s="151"/>
      <c r="E54" s="237" t="s">
        <v>168</v>
      </c>
      <c r="F54" s="245" t="s">
        <v>169</v>
      </c>
      <c r="G54" s="152">
        <v>758</v>
      </c>
      <c r="H54" s="152">
        <v>857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3770</v>
      </c>
      <c r="D55" s="155">
        <f>D19+D20+D21+D27+D32+D45+D51+D53+D54</f>
        <v>4073</v>
      </c>
      <c r="E55" s="237" t="s">
        <v>172</v>
      </c>
      <c r="F55" s="261" t="s">
        <v>173</v>
      </c>
      <c r="G55" s="154">
        <f>G49+G51+G52+G53+G54</f>
        <v>1801</v>
      </c>
      <c r="H55" s="154">
        <f>H49+H51+H52+H53+H54</f>
        <v>2127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1179</v>
      </c>
      <c r="D58" s="151">
        <v>1405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361</v>
      </c>
      <c r="D59" s="151">
        <v>395</v>
      </c>
      <c r="E59" s="251" t="s">
        <v>181</v>
      </c>
      <c r="F59" s="242" t="s">
        <v>182</v>
      </c>
      <c r="G59" s="152">
        <v>489</v>
      </c>
      <c r="H59" s="152">
        <v>489</v>
      </c>
      <c r="M59" s="157"/>
    </row>
    <row r="60" spans="1:8" ht="15">
      <c r="A60" s="235" t="s">
        <v>183</v>
      </c>
      <c r="B60" s="241" t="s">
        <v>184</v>
      </c>
      <c r="C60" s="151">
        <v>630</v>
      </c>
      <c r="D60" s="151">
        <v>663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443</v>
      </c>
      <c r="D61" s="151">
        <v>519</v>
      </c>
      <c r="E61" s="243" t="s">
        <v>189</v>
      </c>
      <c r="F61" s="272" t="s">
        <v>190</v>
      </c>
      <c r="G61" s="154">
        <f>SUM(G62:G68)</f>
        <v>2572</v>
      </c>
      <c r="H61" s="154">
        <f>SUM(H62:H68)</f>
        <v>3022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117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2613</v>
      </c>
      <c r="D64" s="155">
        <f>SUM(D58:D63)</f>
        <v>2982</v>
      </c>
      <c r="E64" s="237" t="s">
        <v>200</v>
      </c>
      <c r="F64" s="242" t="s">
        <v>201</v>
      </c>
      <c r="G64" s="152">
        <f>2259-54</f>
        <v>2205</v>
      </c>
      <c r="H64" s="152">
        <f>2755-33</f>
        <v>2722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54</v>
      </c>
      <c r="H65" s="152">
        <v>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146</v>
      </c>
      <c r="H66" s="152">
        <v>106</v>
      </c>
    </row>
    <row r="67" spans="1:8" ht="15">
      <c r="A67" s="235" t="s">
        <v>207</v>
      </c>
      <c r="B67" s="241" t="s">
        <v>208</v>
      </c>
      <c r="C67" s="151">
        <f>169+1064</f>
        <v>1233</v>
      </c>
      <c r="D67" s="151">
        <f>169+781</f>
        <v>950</v>
      </c>
      <c r="E67" s="237" t="s">
        <v>209</v>
      </c>
      <c r="F67" s="242" t="s">
        <v>210</v>
      </c>
      <c r="G67" s="152">
        <v>41</v>
      </c>
      <c r="H67" s="152">
        <v>36</v>
      </c>
    </row>
    <row r="68" spans="1:8" ht="15">
      <c r="A68" s="235" t="s">
        <v>211</v>
      </c>
      <c r="B68" s="241" t="s">
        <v>212</v>
      </c>
      <c r="C68" s="151">
        <f>2382-169-19</f>
        <v>2194</v>
      </c>
      <c r="D68" s="151">
        <f>2750-169-42</f>
        <v>2539</v>
      </c>
      <c r="E68" s="237" t="s">
        <v>213</v>
      </c>
      <c r="F68" s="242" t="s">
        <v>214</v>
      </c>
      <c r="G68" s="152">
        <v>9</v>
      </c>
      <c r="H68" s="152">
        <v>8</v>
      </c>
    </row>
    <row r="69" spans="1:8" ht="15">
      <c r="A69" s="235" t="s">
        <v>215</v>
      </c>
      <c r="B69" s="241" t="s">
        <v>216</v>
      </c>
      <c r="C69" s="151">
        <f>19+13</f>
        <v>32</v>
      </c>
      <c r="D69" s="151">
        <f>42+17</f>
        <v>59</v>
      </c>
      <c r="E69" s="251" t="s">
        <v>78</v>
      </c>
      <c r="F69" s="242" t="s">
        <v>217</v>
      </c>
      <c r="G69" s="152">
        <v>34</v>
      </c>
      <c r="H69" s="152">
        <f>41</f>
        <v>41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3095</v>
      </c>
      <c r="H71" s="161">
        <f>H59+H60+H61+H69+H70</f>
        <v>3552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110</v>
      </c>
      <c r="D72" s="151">
        <v>183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1167-89-1064</f>
        <v>14</v>
      </c>
      <c r="D74" s="151">
        <f>884-781-89</f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3672</v>
      </c>
      <c r="D75" s="155">
        <f>SUM(D67:D74)</f>
        <v>3834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3095</v>
      </c>
      <c r="H79" s="162">
        <f>H71+H74+H75+H76</f>
        <v>3552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27+97</f>
        <v>124</v>
      </c>
      <c r="D88" s="151">
        <f>88-17</f>
        <v>71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</v>
      </c>
      <c r="D89" s="151">
        <v>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148</v>
      </c>
      <c r="D91" s="155">
        <f>SUM(D87:D90)</f>
        <v>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6433</v>
      </c>
      <c r="D93" s="155">
        <f>D64+D75+D84+D91+D92</f>
        <v>6904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10203</v>
      </c>
      <c r="D94" s="164">
        <f>D93+D55</f>
        <v>10977</v>
      </c>
      <c r="E94" s="449" t="s">
        <v>270</v>
      </c>
      <c r="F94" s="289" t="s">
        <v>271</v>
      </c>
      <c r="G94" s="165">
        <f>G36+G39+G55+G79</f>
        <v>10203</v>
      </c>
      <c r="H94" s="165">
        <f>H36+H39+H55+H79</f>
        <v>10977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7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3" t="s">
        <v>381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781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A4" sqref="A4:C4"/>
    </sheetView>
  </sheetViews>
  <sheetFormatPr defaultColWidth="10.75390625" defaultRowHeight="12.75"/>
  <cols>
    <col min="1" max="1" width="47.25390625" style="574" customWidth="1"/>
    <col min="2" max="2" width="11.875" style="649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3" t="s">
        <v>609</v>
      </c>
      <c r="B1" s="633"/>
      <c r="C1" s="633"/>
      <c r="D1" s="633"/>
      <c r="E1" s="633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634"/>
      <c r="B2" s="635"/>
      <c r="C2" s="636"/>
      <c r="E2" s="637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8"/>
      <c r="C3" s="639" t="s">
        <v>2</v>
      </c>
      <c r="E3" s="639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">
        <v>865</v>
      </c>
      <c r="C4" s="620"/>
      <c r="D4" s="640"/>
      <c r="E4" s="639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876</v>
      </c>
      <c r="B5" s="641"/>
      <c r="C5" s="642"/>
      <c r="D5" s="642"/>
      <c r="E5" s="643" t="s">
        <v>611</v>
      </c>
      <c r="F5" s="644"/>
      <c r="G5" s="22"/>
      <c r="H5" s="22"/>
      <c r="I5" s="22"/>
      <c r="J5" s="22"/>
      <c r="K5" s="22"/>
      <c r="L5" s="22"/>
      <c r="M5" s="22"/>
      <c r="N5" s="22"/>
      <c r="O5" s="22"/>
    </row>
    <row r="6" spans="1:15" s="645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645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645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399</v>
      </c>
      <c r="D28" s="108">
        <v>399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399</v>
      </c>
      <c r="D43" s="104">
        <f>D24+D28+D29+D31+D30+D32+D33+D38</f>
        <v>399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399</v>
      </c>
      <c r="D44" s="103">
        <f>D43+D21+D19+D9</f>
        <v>399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</row>
    <row r="47" spans="1:15" ht="12">
      <c r="A47" s="400" t="s">
        <v>682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645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645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645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8</v>
      </c>
      <c r="D96" s="104">
        <f>D85+D80+D75+D71+D95</f>
        <v>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646"/>
      <c r="Q99" s="646"/>
      <c r="R99" s="646"/>
      <c r="S99" s="646"/>
      <c r="T99" s="646"/>
      <c r="U99" s="646"/>
      <c r="V99" s="646"/>
      <c r="W99" s="646"/>
      <c r="X99" s="646"/>
      <c r="Y99" s="646"/>
      <c r="Z99" s="646"/>
      <c r="AA99" s="646"/>
    </row>
    <row r="100" spans="1:16" s="64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647"/>
    </row>
    <row r="101" spans="1:16" s="64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647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646"/>
      <c r="Q106" s="646"/>
      <c r="R106" s="646"/>
      <c r="S106" s="646"/>
      <c r="T106" s="646"/>
      <c r="U106" s="646"/>
      <c r="V106" s="646"/>
      <c r="W106" s="646"/>
      <c r="X106" s="646"/>
      <c r="Y106" s="646"/>
      <c r="Z106" s="646"/>
      <c r="AA106" s="646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646"/>
      <c r="Q107" s="646"/>
      <c r="R107" s="646"/>
      <c r="S107" s="646"/>
      <c r="T107" s="646"/>
      <c r="U107" s="646"/>
      <c r="V107" s="646"/>
      <c r="W107" s="646"/>
      <c r="X107" s="646"/>
      <c r="Y107" s="646"/>
      <c r="Z107" s="646"/>
      <c r="AA107" s="646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16" t="s">
        <v>871</v>
      </c>
      <c r="B109" s="616"/>
      <c r="C109" s="616" t="s">
        <v>872</v>
      </c>
      <c r="D109" s="616"/>
      <c r="E109" s="616"/>
      <c r="F109" s="616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4" sqref="A4:C4"/>
    </sheetView>
  </sheetViews>
  <sheetFormatPr defaultColWidth="10.75390625" defaultRowHeight="12.75"/>
  <cols>
    <col min="1" max="1" width="47.25390625" style="574" customWidth="1"/>
    <col min="2" max="2" width="11.875" style="649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3" t="s">
        <v>609</v>
      </c>
      <c r="B1" s="633"/>
      <c r="C1" s="633"/>
      <c r="D1" s="633"/>
      <c r="E1" s="633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634"/>
      <c r="B2" s="635"/>
      <c r="C2" s="636"/>
      <c r="E2" s="637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8"/>
      <c r="C3" s="639" t="s">
        <v>2</v>
      </c>
      <c r="E3" s="639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">
        <v>865</v>
      </c>
      <c r="C4" s="620"/>
      <c r="D4" s="640"/>
      <c r="E4" s="639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877</v>
      </c>
      <c r="B5" s="641"/>
      <c r="C5" s="642"/>
      <c r="D5" s="642"/>
      <c r="E5" s="643" t="s">
        <v>611</v>
      </c>
      <c r="F5" s="644"/>
      <c r="G5" s="22"/>
      <c r="H5" s="22"/>
      <c r="I5" s="22"/>
      <c r="J5" s="22"/>
      <c r="K5" s="22"/>
      <c r="L5" s="22"/>
      <c r="M5" s="22"/>
      <c r="N5" s="22"/>
      <c r="O5" s="22"/>
    </row>
    <row r="6" spans="1:15" s="645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645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645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</row>
    <row r="47" spans="1:15" ht="12">
      <c r="A47" s="400" t="s">
        <v>878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645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645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645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646"/>
      <c r="Q99" s="646"/>
      <c r="R99" s="646"/>
      <c r="S99" s="646"/>
      <c r="T99" s="646"/>
      <c r="U99" s="646"/>
      <c r="V99" s="646"/>
      <c r="W99" s="646"/>
      <c r="X99" s="646"/>
      <c r="Y99" s="646"/>
      <c r="Z99" s="646"/>
      <c r="AA99" s="646"/>
    </row>
    <row r="100" spans="1:16" s="64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647"/>
    </row>
    <row r="101" spans="1:16" s="64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647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646"/>
      <c r="Q106" s="646"/>
      <c r="R106" s="646"/>
      <c r="S106" s="646"/>
      <c r="T106" s="646"/>
      <c r="U106" s="646"/>
      <c r="V106" s="646"/>
      <c r="W106" s="646"/>
      <c r="X106" s="646"/>
      <c r="Y106" s="646"/>
      <c r="Z106" s="646"/>
      <c r="AA106" s="646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646"/>
      <c r="Q107" s="646"/>
      <c r="R107" s="646"/>
      <c r="S107" s="646"/>
      <c r="T107" s="646"/>
      <c r="U107" s="646"/>
      <c r="V107" s="646"/>
      <c r="W107" s="646"/>
      <c r="X107" s="646"/>
      <c r="Y107" s="646"/>
      <c r="Z107" s="646"/>
      <c r="AA107" s="646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16" t="s">
        <v>871</v>
      </c>
      <c r="B109" s="616"/>
      <c r="C109" s="616" t="s">
        <v>872</v>
      </c>
      <c r="D109" s="616"/>
      <c r="E109" s="616"/>
      <c r="F109" s="616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19" sqref="A119"/>
    </sheetView>
  </sheetViews>
  <sheetFormatPr defaultColWidth="10.75390625" defaultRowHeight="12.75"/>
  <cols>
    <col min="1" max="1" width="47.25390625" style="574" customWidth="1"/>
    <col min="2" max="2" width="11.875" style="649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3" t="s">
        <v>609</v>
      </c>
      <c r="B1" s="633"/>
      <c r="C1" s="633"/>
      <c r="D1" s="633"/>
      <c r="E1" s="633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634"/>
      <c r="B2" s="635"/>
      <c r="C2" s="636"/>
      <c r="E2" s="637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8"/>
      <c r="C3" s="639" t="s">
        <v>2</v>
      </c>
      <c r="E3" s="639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">
        <v>865</v>
      </c>
      <c r="C4" s="620"/>
      <c r="D4" s="640"/>
      <c r="E4" s="639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879</v>
      </c>
      <c r="B5" s="641"/>
      <c r="C5" s="642"/>
      <c r="D5" s="642"/>
      <c r="E5" s="643" t="s">
        <v>611</v>
      </c>
      <c r="F5" s="644"/>
      <c r="G5" s="22"/>
      <c r="H5" s="22"/>
      <c r="I5" s="22"/>
      <c r="J5" s="22"/>
      <c r="K5" s="22"/>
      <c r="L5" s="22"/>
      <c r="M5" s="22"/>
      <c r="N5" s="22"/>
      <c r="O5" s="22"/>
    </row>
    <row r="6" spans="1:15" s="645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645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645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</row>
    <row r="47" spans="1:15" ht="12">
      <c r="A47" s="400" t="s">
        <v>880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645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645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645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32</v>
      </c>
      <c r="D85" s="104">
        <f>SUM(D86:D90)+D94</f>
        <v>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32</v>
      </c>
      <c r="D87" s="108">
        <v>32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32</v>
      </c>
      <c r="D96" s="104">
        <f>D85+D80+D75+D71+D95</f>
        <v>32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32</v>
      </c>
      <c r="D97" s="104">
        <f>D96+D68+D66</f>
        <v>32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646"/>
      <c r="Q99" s="646"/>
      <c r="R99" s="646"/>
      <c r="S99" s="646"/>
      <c r="T99" s="646"/>
      <c r="U99" s="646"/>
      <c r="V99" s="646"/>
      <c r="W99" s="646"/>
      <c r="X99" s="646"/>
      <c r="Y99" s="646"/>
      <c r="Z99" s="646"/>
      <c r="AA99" s="646"/>
    </row>
    <row r="100" spans="1:16" s="64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647"/>
    </row>
    <row r="101" spans="1:16" s="64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647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646"/>
      <c r="Q106" s="646"/>
      <c r="R106" s="646"/>
      <c r="S106" s="646"/>
      <c r="T106" s="646"/>
      <c r="U106" s="646"/>
      <c r="V106" s="646"/>
      <c r="W106" s="646"/>
      <c r="X106" s="646"/>
      <c r="Y106" s="646"/>
      <c r="Z106" s="646"/>
      <c r="AA106" s="646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646"/>
      <c r="Q107" s="646"/>
      <c r="R107" s="646"/>
      <c r="S107" s="646"/>
      <c r="T107" s="646"/>
      <c r="U107" s="646"/>
      <c r="V107" s="646"/>
      <c r="W107" s="646"/>
      <c r="X107" s="646"/>
      <c r="Y107" s="646"/>
      <c r="Z107" s="646"/>
      <c r="AA107" s="646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16" t="s">
        <v>871</v>
      </c>
      <c r="B109" s="616"/>
      <c r="C109" s="616" t="s">
        <v>872</v>
      </c>
      <c r="D109" s="616"/>
      <c r="E109" s="616"/>
      <c r="F109" s="616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35" sqref="C3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 "Торготерм"АД</v>
      </c>
      <c r="C2" s="587"/>
      <c r="D2" s="587"/>
      <c r="E2" s="587"/>
      <c r="F2" s="589" t="s">
        <v>2</v>
      </c>
      <c r="G2" s="589"/>
      <c r="H2" s="526">
        <f>'справка №1-БАЛАНС'!H3</f>
        <v>819363984</v>
      </c>
    </row>
    <row r="3" spans="1:8" ht="15">
      <c r="A3" s="467" t="s">
        <v>274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01.01.2013-31.03.2013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1083+376</f>
        <v>1459</v>
      </c>
      <c r="D9" s="46">
        <f>1200+451</f>
        <v>1651</v>
      </c>
      <c r="E9" s="298" t="s">
        <v>284</v>
      </c>
      <c r="F9" s="549" t="s">
        <v>285</v>
      </c>
      <c r="G9" s="550">
        <v>1777</v>
      </c>
      <c r="H9" s="550">
        <v>1902</v>
      </c>
    </row>
    <row r="10" spans="1:8" ht="12">
      <c r="A10" s="298" t="s">
        <v>286</v>
      </c>
      <c r="B10" s="299" t="s">
        <v>287</v>
      </c>
      <c r="C10" s="46">
        <v>93</v>
      </c>
      <c r="D10" s="46">
        <v>75</v>
      </c>
      <c r="E10" s="298" t="s">
        <v>288</v>
      </c>
      <c r="F10" s="549" t="s">
        <v>289</v>
      </c>
      <c r="G10" s="550">
        <v>182</v>
      </c>
      <c r="H10" s="550">
        <v>461</v>
      </c>
    </row>
    <row r="11" spans="1:8" ht="12">
      <c r="A11" s="298" t="s">
        <v>290</v>
      </c>
      <c r="B11" s="299" t="s">
        <v>291</v>
      </c>
      <c r="C11" s="46">
        <v>116</v>
      </c>
      <c r="D11" s="46">
        <v>175</v>
      </c>
      <c r="E11" s="300" t="s">
        <v>292</v>
      </c>
      <c r="F11" s="549" t="s">
        <v>293</v>
      </c>
      <c r="G11" s="550">
        <v>13</v>
      </c>
      <c r="H11" s="550">
        <v>11</v>
      </c>
    </row>
    <row r="12" spans="1:8" ht="12">
      <c r="A12" s="298" t="s">
        <v>294</v>
      </c>
      <c r="B12" s="299" t="s">
        <v>295</v>
      </c>
      <c r="C12" s="46">
        <v>445</v>
      </c>
      <c r="D12" s="46">
        <v>415</v>
      </c>
      <c r="E12" s="300" t="s">
        <v>78</v>
      </c>
      <c r="F12" s="549" t="s">
        <v>296</v>
      </c>
      <c r="G12" s="550">
        <v>15</v>
      </c>
      <c r="H12" s="550">
        <v>26</v>
      </c>
    </row>
    <row r="13" spans="1:18" ht="12">
      <c r="A13" s="298" t="s">
        <v>297</v>
      </c>
      <c r="B13" s="299" t="s">
        <v>298</v>
      </c>
      <c r="C13" s="46">
        <v>56</v>
      </c>
      <c r="D13" s="46">
        <v>51</v>
      </c>
      <c r="E13" s="301" t="s">
        <v>51</v>
      </c>
      <c r="F13" s="551" t="s">
        <v>299</v>
      </c>
      <c r="G13" s="548">
        <f>SUM(G9:G12)</f>
        <v>1987</v>
      </c>
      <c r="H13" s="548">
        <f>SUM(H9:H12)</f>
        <v>2400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134</v>
      </c>
      <c r="D14" s="46">
        <v>442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-5+9-376</f>
        <v>-372</v>
      </c>
      <c r="D15" s="47">
        <f>-18+30-451</f>
        <v>-439</v>
      </c>
      <c r="E15" s="296" t="s">
        <v>304</v>
      </c>
      <c r="F15" s="554" t="s">
        <v>305</v>
      </c>
      <c r="G15" s="550">
        <v>27</v>
      </c>
      <c r="H15" s="550">
        <v>32</v>
      </c>
    </row>
    <row r="16" spans="1:8" ht="12">
      <c r="A16" s="298" t="s">
        <v>306</v>
      </c>
      <c r="B16" s="299" t="s">
        <v>307</v>
      </c>
      <c r="C16" s="47">
        <v>80</v>
      </c>
      <c r="D16" s="47">
        <v>66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2011</v>
      </c>
      <c r="D19" s="49">
        <f>SUM(D9:D15)+D16</f>
        <v>2436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31</v>
      </c>
      <c r="D22" s="46">
        <v>29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10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43</v>
      </c>
      <c r="D26" s="49">
        <f>SUM(D22:D25)</f>
        <v>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2054</v>
      </c>
      <c r="D28" s="50">
        <f>D26+D19</f>
        <v>2483</v>
      </c>
      <c r="E28" s="127" t="s">
        <v>338</v>
      </c>
      <c r="F28" s="554" t="s">
        <v>339</v>
      </c>
      <c r="G28" s="548">
        <f>G13+G15+G24</f>
        <v>2014</v>
      </c>
      <c r="H28" s="548">
        <f>H13+H15+H24</f>
        <v>2432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40</v>
      </c>
      <c r="H30" s="53">
        <f>IF((D28-H28)&gt;0,D28-H28,0)</f>
        <v>51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2054</v>
      </c>
      <c r="D33" s="49">
        <f>D28-D31+D32</f>
        <v>2483</v>
      </c>
      <c r="E33" s="127" t="s">
        <v>352</v>
      </c>
      <c r="F33" s="554" t="s">
        <v>353</v>
      </c>
      <c r="G33" s="53">
        <f>G32-G31+G28</f>
        <v>2014</v>
      </c>
      <c r="H33" s="53">
        <f>H32-H31+H28</f>
        <v>2432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40</v>
      </c>
      <c r="H34" s="548">
        <f>IF((D33-H33)&gt;0,D33-H33,0)</f>
        <v>51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40</v>
      </c>
      <c r="H39" s="559">
        <f>IF(H34&gt;0,IF(D35+H34&lt;0,0,D35+H34),IF(D34-D35&lt;0,D35-D34,0))</f>
        <v>51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40</v>
      </c>
      <c r="H41" s="52">
        <f>IF(D39=0,IF(H39-H40&gt;0,H39-H40+D40,0),IF(D39-D40&lt;0,D40-D39+H40,0))</f>
        <v>51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2054</v>
      </c>
      <c r="D42" s="53">
        <f>D33+D35+D39</f>
        <v>2483</v>
      </c>
      <c r="E42" s="128" t="s">
        <v>379</v>
      </c>
      <c r="F42" s="129" t="s">
        <v>380</v>
      </c>
      <c r="G42" s="53">
        <f>G39+G33</f>
        <v>2054</v>
      </c>
      <c r="H42" s="53">
        <f>H39+H33</f>
        <v>2483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B15" sqref="B1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01.01.2013-31.03.2013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2422</v>
      </c>
      <c r="D10" s="54">
        <v>2316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-1929+4</f>
        <v>-1925</v>
      </c>
      <c r="D11" s="575">
        <f>-1995+36</f>
        <v>-1959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-251</v>
      </c>
      <c r="D13" s="575">
        <v>-257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80</v>
      </c>
      <c r="D14" s="575">
        <v>129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v>-6</v>
      </c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-2</v>
      </c>
      <c r="D18" s="575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-86</v>
      </c>
      <c r="D19" s="575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232</v>
      </c>
      <c r="D20" s="55">
        <f>SUM(D10:D19)</f>
        <v>202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/>
      <c r="D22" s="575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-75</v>
      </c>
      <c r="D37" s="575">
        <v>-84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-4</v>
      </c>
      <c r="D38" s="575">
        <v>-36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-24</v>
      </c>
      <c r="D39" s="575">
        <v>-28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-7</v>
      </c>
      <c r="D41" s="575">
        <v>-14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-110</v>
      </c>
      <c r="D42" s="55">
        <f>SUM(D34:D41)</f>
        <v>-162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122</v>
      </c>
      <c r="D43" s="55">
        <f>D42+D32+D20</f>
        <v>40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148</v>
      </c>
      <c r="D45" s="55">
        <f>D44+D43</f>
        <v>88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148</v>
      </c>
      <c r="D46" s="56">
        <v>88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B6" sqref="B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 "Торготерм"АД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01.01.2013-31.03.2013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1144</v>
      </c>
      <c r="J11" s="58">
        <f>'справка №1-БАЛАНС'!H29+'справка №1-БАЛАНС'!H32</f>
        <v>-492</v>
      </c>
      <c r="K11" s="60"/>
      <c r="L11" s="344">
        <f>SUM(C11:K11)</f>
        <v>5298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1144</v>
      </c>
      <c r="J15" s="61">
        <f t="shared" si="2"/>
        <v>-492</v>
      </c>
      <c r="K15" s="61">
        <f t="shared" si="2"/>
        <v>0</v>
      </c>
      <c r="L15" s="344">
        <f t="shared" si="1"/>
        <v>5298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</v>
      </c>
      <c r="K16" s="60"/>
      <c r="L16" s="344">
        <f t="shared" si="1"/>
        <v>-40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49</v>
      </c>
      <c r="J28" s="60"/>
      <c r="K28" s="60"/>
      <c r="L28" s="344">
        <f t="shared" si="1"/>
        <v>49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1193</v>
      </c>
      <c r="J29" s="59">
        <f t="shared" si="6"/>
        <v>-532</v>
      </c>
      <c r="K29" s="59">
        <f t="shared" si="6"/>
        <v>0</v>
      </c>
      <c r="L29" s="344">
        <f t="shared" si="1"/>
        <v>5307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1193</v>
      </c>
      <c r="J32" s="59">
        <f t="shared" si="7"/>
        <v>-532</v>
      </c>
      <c r="K32" s="59">
        <f t="shared" si="7"/>
        <v>0</v>
      </c>
      <c r="L32" s="344">
        <f t="shared" si="1"/>
        <v>5307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6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E6" sqref="E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 "Торготерм"АД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01.01.2013-31.03.2013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1842</v>
      </c>
      <c r="E10" s="189"/>
      <c r="F10" s="189"/>
      <c r="G10" s="74">
        <f aca="true" t="shared" si="2" ref="G10:G39">D10+E10-F10</f>
        <v>1842</v>
      </c>
      <c r="H10" s="65"/>
      <c r="I10" s="65"/>
      <c r="J10" s="74">
        <f aca="true" t="shared" si="3" ref="J10:J39">G10+H10-I10</f>
        <v>1842</v>
      </c>
      <c r="K10" s="65">
        <v>568</v>
      </c>
      <c r="L10" s="65">
        <v>19</v>
      </c>
      <c r="M10" s="65"/>
      <c r="N10" s="74">
        <f aca="true" t="shared" si="4" ref="N10:N39">K10+L10-M10</f>
        <v>587</v>
      </c>
      <c r="O10" s="65"/>
      <c r="P10" s="65"/>
      <c r="Q10" s="74">
        <f t="shared" si="0"/>
        <v>587</v>
      </c>
      <c r="R10" s="74">
        <f t="shared" si="1"/>
        <v>1255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4953+2015</f>
        <v>6968</v>
      </c>
      <c r="E11" s="189">
        <v>15</v>
      </c>
      <c r="F11" s="189">
        <v>9</v>
      </c>
      <c r="G11" s="74">
        <f t="shared" si="2"/>
        <v>6974</v>
      </c>
      <c r="H11" s="65"/>
      <c r="I11" s="65"/>
      <c r="J11" s="74">
        <f t="shared" si="3"/>
        <v>6974</v>
      </c>
      <c r="K11" s="65">
        <v>5016</v>
      </c>
      <c r="L11" s="65">
        <v>78</v>
      </c>
      <c r="M11" s="65">
        <v>9</v>
      </c>
      <c r="N11" s="74">
        <f t="shared" si="4"/>
        <v>5085</v>
      </c>
      <c r="O11" s="65"/>
      <c r="P11" s="65"/>
      <c r="Q11" s="74">
        <f t="shared" si="0"/>
        <v>5085</v>
      </c>
      <c r="R11" s="74">
        <f t="shared" si="1"/>
        <v>1889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332</v>
      </c>
      <c r="E12" s="189"/>
      <c r="F12" s="189"/>
      <c r="G12" s="74">
        <f t="shared" si="2"/>
        <v>332</v>
      </c>
      <c r="H12" s="65"/>
      <c r="I12" s="65"/>
      <c r="J12" s="74">
        <f t="shared" si="3"/>
        <v>332</v>
      </c>
      <c r="K12" s="65">
        <v>223</v>
      </c>
      <c r="L12" s="65">
        <v>4</v>
      </c>
      <c r="M12" s="65"/>
      <c r="N12" s="74">
        <f t="shared" si="4"/>
        <v>227</v>
      </c>
      <c r="O12" s="65"/>
      <c r="P12" s="65"/>
      <c r="Q12" s="74">
        <f t="shared" si="0"/>
        <v>227</v>
      </c>
      <c r="R12" s="74">
        <f t="shared" si="1"/>
        <v>105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190</v>
      </c>
      <c r="E13" s="189"/>
      <c r="F13" s="189"/>
      <c r="G13" s="74">
        <f t="shared" si="2"/>
        <v>190</v>
      </c>
      <c r="H13" s="65"/>
      <c r="I13" s="65"/>
      <c r="J13" s="74">
        <f t="shared" si="3"/>
        <v>190</v>
      </c>
      <c r="K13" s="65">
        <v>143</v>
      </c>
      <c r="L13" s="65">
        <v>3</v>
      </c>
      <c r="M13" s="65"/>
      <c r="N13" s="74">
        <f t="shared" si="4"/>
        <v>146</v>
      </c>
      <c r="O13" s="65"/>
      <c r="P13" s="65"/>
      <c r="Q13" s="74">
        <f t="shared" si="0"/>
        <v>146</v>
      </c>
      <c r="R13" s="74">
        <f t="shared" si="1"/>
        <v>44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162+241+202</f>
        <v>605</v>
      </c>
      <c r="E14" s="189">
        <f>3</f>
        <v>3</v>
      </c>
      <c r="F14" s="189">
        <v>18</v>
      </c>
      <c r="G14" s="74">
        <f t="shared" si="2"/>
        <v>590</v>
      </c>
      <c r="H14" s="65"/>
      <c r="I14" s="65"/>
      <c r="J14" s="74">
        <f t="shared" si="3"/>
        <v>590</v>
      </c>
      <c r="K14" s="65">
        <f>154+198+183</f>
        <v>535</v>
      </c>
      <c r="L14" s="65">
        <f>2+5+2</f>
        <v>9</v>
      </c>
      <c r="M14" s="65">
        <f>14+4</f>
        <v>18</v>
      </c>
      <c r="N14" s="74">
        <f t="shared" si="4"/>
        <v>526</v>
      </c>
      <c r="O14" s="65"/>
      <c r="P14" s="65"/>
      <c r="Q14" s="74">
        <f t="shared" si="0"/>
        <v>526</v>
      </c>
      <c r="R14" s="74">
        <f t="shared" si="1"/>
        <v>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10267</v>
      </c>
      <c r="E17" s="194">
        <f>SUM(E9:E16)</f>
        <v>18</v>
      </c>
      <c r="F17" s="194">
        <f>SUM(F9:F16)</f>
        <v>27</v>
      </c>
      <c r="G17" s="74">
        <f t="shared" si="2"/>
        <v>10258</v>
      </c>
      <c r="H17" s="75">
        <f>SUM(H9:H16)</f>
        <v>0</v>
      </c>
      <c r="I17" s="75">
        <f>SUM(I9:I16)</f>
        <v>0</v>
      </c>
      <c r="J17" s="74">
        <f t="shared" si="3"/>
        <v>10258</v>
      </c>
      <c r="K17" s="75">
        <f>SUM(K9:K16)</f>
        <v>6485</v>
      </c>
      <c r="L17" s="75">
        <f>SUM(L9:L16)</f>
        <v>113</v>
      </c>
      <c r="M17" s="75">
        <f>SUM(M9:M16)</f>
        <v>27</v>
      </c>
      <c r="N17" s="74">
        <f t="shared" si="4"/>
        <v>6571</v>
      </c>
      <c r="O17" s="75">
        <f>SUM(O9:O16)</f>
        <v>0</v>
      </c>
      <c r="P17" s="75">
        <f>SUM(P9:P16)</f>
        <v>0</v>
      </c>
      <c r="Q17" s="74">
        <f t="shared" si="5"/>
        <v>6571</v>
      </c>
      <c r="R17" s="74">
        <f t="shared" si="6"/>
        <v>3687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69</v>
      </c>
      <c r="E22" s="189"/>
      <c r="F22" s="189"/>
      <c r="G22" s="74">
        <f t="shared" si="2"/>
        <v>69</v>
      </c>
      <c r="H22" s="65"/>
      <c r="I22" s="65"/>
      <c r="J22" s="74">
        <f t="shared" si="3"/>
        <v>69</v>
      </c>
      <c r="K22" s="65">
        <v>57</v>
      </c>
      <c r="L22" s="65">
        <v>3</v>
      </c>
      <c r="M22" s="65"/>
      <c r="N22" s="74">
        <f t="shared" si="4"/>
        <v>60</v>
      </c>
      <c r="O22" s="65"/>
      <c r="P22" s="65"/>
      <c r="Q22" s="74">
        <f t="shared" si="5"/>
        <v>60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69</v>
      </c>
      <c r="H25" s="66">
        <f t="shared" si="7"/>
        <v>0</v>
      </c>
      <c r="I25" s="66">
        <f t="shared" si="7"/>
        <v>0</v>
      </c>
      <c r="J25" s="67">
        <f t="shared" si="3"/>
        <v>69</v>
      </c>
      <c r="K25" s="66">
        <f t="shared" si="7"/>
        <v>57</v>
      </c>
      <c r="L25" s="66">
        <f t="shared" si="7"/>
        <v>3</v>
      </c>
      <c r="M25" s="66">
        <f t="shared" si="7"/>
        <v>0</v>
      </c>
      <c r="N25" s="67">
        <f t="shared" si="4"/>
        <v>60</v>
      </c>
      <c r="O25" s="66">
        <f t="shared" si="7"/>
        <v>0</v>
      </c>
      <c r="P25" s="66">
        <f t="shared" si="7"/>
        <v>0</v>
      </c>
      <c r="Q25" s="67">
        <f t="shared" si="5"/>
        <v>60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10336</v>
      </c>
      <c r="E40" s="438">
        <f>E17+E18+E19+E25+E38+E39</f>
        <v>18</v>
      </c>
      <c r="F40" s="438">
        <f aca="true" t="shared" si="13" ref="F40:R40">F17+F18+F19+F25+F38+F39</f>
        <v>27</v>
      </c>
      <c r="G40" s="438">
        <f t="shared" si="13"/>
        <v>10327</v>
      </c>
      <c r="H40" s="438">
        <f t="shared" si="13"/>
        <v>0</v>
      </c>
      <c r="I40" s="438">
        <f t="shared" si="13"/>
        <v>0</v>
      </c>
      <c r="J40" s="438">
        <f t="shared" si="13"/>
        <v>10327</v>
      </c>
      <c r="K40" s="438">
        <f t="shared" si="13"/>
        <v>6542</v>
      </c>
      <c r="L40" s="438">
        <f t="shared" si="13"/>
        <v>116</v>
      </c>
      <c r="M40" s="438">
        <f t="shared" si="13"/>
        <v>27</v>
      </c>
      <c r="N40" s="438">
        <f t="shared" si="13"/>
        <v>6631</v>
      </c>
      <c r="O40" s="438">
        <f t="shared" si="13"/>
        <v>0</v>
      </c>
      <c r="P40" s="438">
        <f t="shared" si="13"/>
        <v>0</v>
      </c>
      <c r="Q40" s="438">
        <f t="shared" si="13"/>
        <v>6631</v>
      </c>
      <c r="R40" s="438">
        <f t="shared" si="13"/>
        <v>3696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599" t="s">
        <v>781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 "Торготерм"АД</v>
      </c>
      <c r="C3" s="622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01.01.2013-31.03.2013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1233</v>
      </c>
      <c r="D24" s="119">
        <f>SUM(D25:D27)</f>
        <v>1233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1233</v>
      </c>
      <c r="D27" s="108">
        <v>1233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2194</v>
      </c>
      <c r="D28" s="108">
        <v>2194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32</v>
      </c>
      <c r="D29" s="108">
        <v>32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110</v>
      </c>
      <c r="D33" s="105">
        <f>SUM(D34:D37)</f>
        <v>110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110</v>
      </c>
      <c r="D35" s="108">
        <v>110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3672</v>
      </c>
      <c r="D43" s="104">
        <f>D24+D28+D29+D31+D30+D32+D33+D38</f>
        <v>3672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3672</v>
      </c>
      <c r="D44" s="103">
        <f>D43+D21+D19+D9</f>
        <v>3672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21</v>
      </c>
      <c r="D52" s="103">
        <f>SUM(D53:D55)</f>
        <v>0</v>
      </c>
      <c r="E52" s="119">
        <f>C52-D52</f>
        <v>21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21</v>
      </c>
      <c r="D54" s="108"/>
      <c r="E54" s="119">
        <f aca="true" t="shared" si="1" ref="E54:E95">C54-D54</f>
        <v>21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867</v>
      </c>
      <c r="D56" s="103">
        <f>D57+D59</f>
        <v>0</v>
      </c>
      <c r="E56" s="119">
        <f t="shared" si="1"/>
        <v>867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867</v>
      </c>
      <c r="D57" s="108"/>
      <c r="E57" s="119">
        <f t="shared" si="1"/>
        <v>867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13</v>
      </c>
      <c r="D64" s="108"/>
      <c r="E64" s="119">
        <f t="shared" si="1"/>
        <v>13</v>
      </c>
      <c r="F64" s="110"/>
    </row>
    <row r="65" spans="1:6" ht="12">
      <c r="A65" s="396" t="s">
        <v>709</v>
      </c>
      <c r="B65" s="397" t="s">
        <v>710</v>
      </c>
      <c r="C65" s="109">
        <v>13</v>
      </c>
      <c r="D65" s="109"/>
      <c r="E65" s="119">
        <f t="shared" si="1"/>
        <v>13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901</v>
      </c>
      <c r="D66" s="103">
        <f>D52+D56+D61+D62+D63+D64</f>
        <v>0</v>
      </c>
      <c r="E66" s="119">
        <f t="shared" si="1"/>
        <v>901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142</v>
      </c>
      <c r="D68" s="108"/>
      <c r="E68" s="119">
        <f t="shared" si="1"/>
        <v>142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489</v>
      </c>
      <c r="D75" s="103">
        <f>D76+D78</f>
        <v>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489</v>
      </c>
      <c r="D76" s="108">
        <f>C76</f>
        <v>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2572</v>
      </c>
      <c r="D85" s="104">
        <f>SUM(D86:D90)+D94</f>
        <v>2572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117</v>
      </c>
      <c r="D86" s="108">
        <f>C86</f>
        <v>117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2205</v>
      </c>
      <c r="D87" s="108">
        <f>C87</f>
        <v>2205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54</v>
      </c>
      <c r="D88" s="108">
        <f>C88</f>
        <v>54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146</v>
      </c>
      <c r="D89" s="108">
        <f>C89</f>
        <v>146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</v>
      </c>
      <c r="D93" s="108">
        <f>C93</f>
        <v>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41</v>
      </c>
      <c r="D94" s="108">
        <f>C94</f>
        <v>41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34</v>
      </c>
      <c r="D95" s="108">
        <f>C95</f>
        <v>34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3095</v>
      </c>
      <c r="D96" s="104">
        <f>D85+D80+D75+D71+D95</f>
        <v>3095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4138</v>
      </c>
      <c r="D97" s="104">
        <f>D96+D68+D66</f>
        <v>3095</v>
      </c>
      <c r="E97" s="104">
        <f>E96+E68+E66</f>
        <v>1043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1" sqref="A1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 "Торготерм"АД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819363984</v>
      </c>
    </row>
    <row r="5" spans="1:9" ht="15">
      <c r="A5" s="501" t="s">
        <v>5</v>
      </c>
      <c r="B5" s="624" t="str">
        <f>'справка №1-БАЛАНС'!E5</f>
        <v>01.01.2013-31.03.2013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B158" sqref="B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 "Торготерм"АД</v>
      </c>
      <c r="C5" s="630"/>
      <c r="D5" s="630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31" t="str">
        <f>'справка №1-БАЛАНС'!E5</f>
        <v>01.01.2013-31.03.2013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2" t="s">
        <v>849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856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28" sqref="B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'[2]справка №1-БАЛАНС'!E3</f>
        <v> "Торготерм"АД</v>
      </c>
      <c r="C3" s="622"/>
      <c r="D3" s="526" t="s">
        <v>2</v>
      </c>
      <c r="E3" s="107">
        <f>'[2]справка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">
        <v>865</v>
      </c>
      <c r="C4" s="620"/>
      <c r="D4" s="527" t="s">
        <v>4</v>
      </c>
      <c r="E4" s="107" t="str">
        <f>'[2]справка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874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1419</v>
      </c>
      <c r="D28" s="108">
        <v>1419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1419</v>
      </c>
      <c r="D43" s="104">
        <f>D24+D28+D29+D31+D30+D32+D33+D38</f>
        <v>1419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1419</v>
      </c>
      <c r="D44" s="103">
        <f>D43+D21+D19+D9</f>
        <v>1419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875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B3:C3"/>
    <mergeCell ref="B4:C4"/>
    <mergeCell ref="A1:E1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2013-04-25T11:45:35Z</cp:lastPrinted>
  <dcterms:created xsi:type="dcterms:W3CDTF">2000-06-29T12:02:40Z</dcterms:created>
  <dcterms:modified xsi:type="dcterms:W3CDTF">2013-04-25T12:22:22Z</dcterms:modified>
  <cp:category/>
  <cp:version/>
  <cp:contentType/>
  <cp:contentStatus/>
</cp:coreProperties>
</file>