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<sst xmlns="http://schemas.openxmlformats.org/spreadsheetml/2006/main" count="1061" uniqueCount="875">
  <si>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</si>
  <si>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</si>
  <si>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</si>
  <si>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</si>
  <si>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</si>
  <si>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</si>
  <si>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</si>
  <si>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</si>
  <si>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</si>
  <si>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</si>
  <si>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</si>
  <si>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</si>
  <si>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</si>
  <si>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</si>
  <si>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</si>
  <si>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</si>
  <si>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</si>
  <si>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</si>
  <si>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</si>
  <si>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</si>
  <si>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</si>
  <si>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</si>
  <si>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</si>
  <si>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</si>
  <si>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</si>
  <si>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</si>
  <si>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</si>
  <si>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</si>
  <si>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</si>
  <si>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</si>
  <si>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</si>
  <si>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</si>
  <si>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</si>
  <si>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</si>
  <si>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</si>
  <si>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</si>
  <si>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</si>
  <si>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</si>
  <si>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</si>
  <si>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</si>
  <si>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</si>
  <si>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</si>
  <si>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</si>
  <si>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</si>
  <si>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</si>
  <si>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</si>
  <si>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</si>
  <si>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</si>
  <si>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</si>
  <si>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</si>
  <si>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</si>
  <si>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</si>
  <si>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</si>
  <si>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</si>
  <si>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</si>
  <si>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</si>
  <si>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</si>
  <si>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</si>
  <si>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</si>
  <si>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</si>
  <si>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</si>
  <si>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</si>
  <si>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</si>
  <si>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</si>
  <si>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</si>
  <si>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</si>
  <si>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</si>
  <si>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</si>
  <si>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</si>
  <si>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</si>
  <si>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</si>
  <si>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</si>
  <si>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</si>
  <si>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</si>
  <si>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</si>
  <si>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</si>
  <si>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</si>
  <si>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</si>
  <si>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</si>
  <si>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</si>
  <si>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</si>
  <si>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</si>
  <si>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</si>
  <si>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</si>
  <si>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</si>
  <si>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</si>
  <si>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</si>
  <si>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</si>
  <si>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</si>
  <si>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</si>
  <si>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</si>
  <si>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</si>
  <si>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</si>
  <si>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</si>
  <si>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</si>
  <si>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</si>
  <si>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</si>
  <si>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</si>
  <si>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</si>
  <si>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</si>
  <si>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</si>
  <si>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</si>
  <si>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</si>
  <si>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</si>
  <si>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</si>
  <si>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</si>
  <si>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</si>
  <si>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</si>
  <si>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</si>
  <si>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</si>
  <si>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</si>
  <si>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</si>
  <si>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</si>
  <si>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</si>
  <si>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</si>
  <si>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</si>
  <si>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</si>
  <si>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</si>
  <si>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</si>
  <si>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</si>
  <si>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</si>
  <si>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</si>
  <si>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</si>
  <si>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</si>
  <si>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</si>
  <si>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</si>
  <si>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</si>
  <si>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</si>
  <si>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</si>
  <si>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</si>
  <si>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</si>
  <si>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</si>
  <si>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</si>
  <si>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</si>
  <si>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</si>
  <si>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</si>
  <si>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</si>
  <si>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</si>
  <si>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</si>
  <si>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</si>
  <si>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</si>
  <si>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</si>
  <si>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</si>
  <si>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</si>
  <si>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</si>
  <si>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</si>
  <si>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</si>
  <si>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</si>
  <si>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</si>
  <si>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</si>
  <si>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</si>
  <si>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</si>
  <si>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</si>
  <si>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</si>
  <si>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</si>
  <si>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</si>
  <si>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</si>
  <si>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</si>
  <si>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</si>
  <si>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</si>
  <si>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</si>
  <si>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</si>
  <si>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</si>
  <si>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</si>
  <si>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</si>
  <si>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</si>
  <si>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</si>
  <si>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</si>
  <si>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</si>
  <si>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</si>
  <si>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</si>
  <si>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</si>
  <si>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</si>
  <si>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</si>
  <si>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</si>
  <si>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</si>
  <si>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</si>
  <si>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</si>
  <si>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</si>
  <si>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</si>
  <si>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</si>
  <si>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</si>
  <si>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</si>
  <si>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</si>
  <si>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</si>
  <si>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</si>
  <si>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</si>
  <si>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</si>
  <si>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</si>
  <si>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</si>
  <si>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</si>
  <si>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</si>
  <si>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</si>
  <si>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</si>
  <si>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</si>
  <si>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</si>
  <si>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</si>
  <si>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</si>
  <si>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</si>
  <si>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</si>
  <si>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</si>
  <si>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</si>
  <si>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</si>
  <si>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</si>
  <si>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</si>
  <si>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</si>
  <si>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</si>
  <si>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</si>
  <si>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</si>
  <si>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</si>
  <si>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</si>
  <si>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</si>
  <si>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</si>
  <si>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</si>
  <si>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</si>
  <si>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</si>
  <si>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</si>
  <si>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</si>
  <si>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</si>
  <si>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</si>
  <si>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</si>
  <si>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</si>
  <si>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</si>
  <si>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</si>
  <si>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</si>
  <si>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</si>
  <si>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</si>
  <si>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</si>
  <si>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</si>
  <si>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</si>
  <si>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</si>
  <si>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</si>
  <si>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</si>
  <si>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</si>
  <si>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</si>
  <si>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</si>
  <si>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</si>
  <si>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</si>
  <si>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</si>
  <si>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</si>
  <si>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</si>
  <si>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</si>
  <si>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</si>
  <si>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</si>
  <si>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</si>
  <si>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</si>
  <si>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</si>
  <si>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</si>
  <si>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</si>
  <si>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</si>
  <si>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</si>
  <si>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</si>
  <si>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</si>
  <si>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</si>
  <si>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</si>
  <si>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</si>
  <si>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</si>
  <si>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</si>
  <si>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</si>
  <si>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</si>
  <si>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</si>
  <si>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</si>
  <si>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</si>
  <si>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</si>
  <si>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</si>
  <si>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</si>
  <si>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</si>
  <si>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</si>
  <si>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</si>
  <si>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</si>
  <si>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</si>
  <si>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</si>
  <si>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</si>
  <si>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</si>
  <si>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</si>
  <si>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</si>
  <si>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</si>
  <si>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</si>
  <si>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</si>
  <si>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</si>
  <si>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</si>
  <si>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</si>
  <si>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</si>
  <si>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</si>
  <si>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</si>
  <si>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</si>
  <si>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</si>
  <si>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</si>
  <si>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</si>
  <si>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</si>
  <si>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</si>
  <si>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</si>
  <si>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</si>
  <si>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</si>
  <si>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</si>
  <si>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</si>
  <si>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</si>
  <si>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</si>
  <si>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</si>
  <si>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</si>
  <si>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</si>
  <si>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</si>
  <si>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</si>
  <si>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</si>
  <si>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</si>
  <si>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</si>
  <si>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</si>
  <si>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</si>
  <si>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</si>
  <si>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</si>
  <si>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</si>
  <si>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</si>
  <si>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</si>
  <si>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</si>
  <si>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</si>
  <si>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</si>
  <si>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</si>
  <si>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</si>
  <si>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</si>
  <si>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</si>
  <si>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</si>
  <si>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</si>
  <si>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</si>
  <si>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</si>
  <si>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</si>
  <si>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</si>
  <si>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</si>
  <si>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</si>
  <si>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</si>
  <si>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</si>
  <si>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</si>
  <si>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</si>
  <si>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</si>
  <si>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</si>
  <si>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</si>
  <si>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</si>
  <si>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</si>
  <si>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</si>
  <si>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</si>
  <si>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</si>
  <si>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</si>
  <si>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</si>
  <si>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</si>
  <si>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</si>
  <si>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</si>
  <si>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</si>
  <si>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</si>
  <si>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</si>
  <si>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</si>
  <si>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</si>
  <si>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</si>
  <si>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</si>
  <si>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</si>
  <si>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</si>
  <si>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</si>
  <si>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</si>
  <si>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</si>
  <si>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</si>
  <si>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</si>
  <si>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</si>
  <si>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</si>
  <si>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</si>
  <si>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</si>
  <si>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</si>
  <si>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</si>
  <si>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</si>
  <si>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</si>
  <si>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</si>
  <si>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</si>
  <si>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</si>
  <si>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</si>
  <si>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</si>
  <si>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</si>
  <si>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</si>
  <si>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</si>
  <si>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</si>
  <si>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</si>
  <si>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</si>
  <si>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</si>
  <si>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</si>
  <si>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</si>
  <si>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</si>
  <si>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</si>
  <si>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</si>
  <si>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</si>
  <si>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</si>
  <si>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</si>
  <si>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</si>
  <si>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</si>
  <si>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</si>
  <si>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</si>
  <si>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</si>
  <si>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</si>
  <si>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</si>
  <si>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</si>
  <si>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</si>
  <si>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</si>
  <si>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</si>
  <si>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</si>
  <si>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</si>
  <si>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</si>
  <si>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</si>
  <si>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</si>
  <si>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</si>
  <si>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</si>
  <si>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</si>
  <si>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</si>
  <si>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</si>
  <si>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</si>
  <si>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</si>
  <si>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</si>
  <si>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</si>
  <si>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</si>
  <si>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</si>
  <si>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</si>
  <si>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</si>
  <si>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</si>
  <si>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</si>
  <si>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</si>
  <si>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</si>
  <si>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</si>
  <si>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</si>
  <si>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</si>
  <si>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</si>
  <si>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</si>
  <si>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</si>
  <si>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</si>
  <si>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</si>
  <si>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</si>
  <si>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</si>
  <si>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</si>
  <si>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</si>
  <si>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</si>
  <si>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</si>
  <si>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</si>
  <si>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</si>
  <si>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</si>
  <si>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</si>
  <si>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</si>
  <si>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</si>
  <si>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</si>
  <si>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</si>
  <si>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</si>
  <si>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</si>
  <si>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</si>
  <si>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</si>
  <si>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</si>
  <si>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</si>
  <si>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</si>
  <si>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</si>
  <si>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</si>
  <si>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</si>
  <si>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</si>
  <si>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</si>
  <si>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</si>
  <si>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</si>
  <si>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</si>
  <si>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</si>
  <si>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</si>
  <si>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</si>
  <si>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</si>
  <si>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</si>
  <si>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</si>
  <si>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</si>
  <si>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</si>
  <si>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</si>
  <si>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</si>
  <si>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</si>
  <si>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</si>
  <si>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</si>
  <si>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</si>
  <si>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</si>
  <si>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</si>
  <si>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</si>
  <si>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</si>
  <si>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</si>
  <si>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</si>
  <si>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</si>
  <si>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</si>
  <si>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</si>
  <si>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</si>
  <si>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</si>
  <si>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</si>
  <si>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</si>
  <si>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</si>
  <si>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</si>
  <si>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</si>
  <si>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</si>
  <si>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</si>
  <si>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</si>
  <si>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</si>
  <si>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</si>
  <si>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</si>
  <si>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</si>
  <si>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</si>
  <si>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</si>
  <si>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</si>
  <si>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</si>
  <si>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</si>
  <si>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</si>
  <si>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</si>
  <si>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</si>
  <si>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</si>
  <si>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</si>
  <si>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</si>
  <si>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</si>
  <si>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</si>
  <si>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</si>
  <si>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</si>
  <si>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</si>
  <si>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</si>
  <si>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</si>
  <si>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</si>
  <si>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</si>
  <si>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</si>
  <si>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</si>
  <si>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</si>
  <si>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</si>
  <si>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</si>
  <si>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</si>
  <si>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</si>
  <si>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</si>
  <si>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</si>
  <si>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</si>
  <si>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</si>
  <si>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</si>
  <si>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</si>
  <si>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</si>
  <si>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</si>
  <si>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</si>
  <si>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</si>
  <si>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</si>
  <si>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</si>
  <si>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</si>
  <si>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</si>
  <si>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</si>
  <si>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</si>
  <si>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</si>
  <si>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</si>
  <si>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</si>
  <si>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</si>
  <si>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</si>
  <si>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</si>
  <si>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</si>
  <si>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</si>
  <si>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</si>
  <si>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</si>
  <si>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</si>
  <si>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</si>
  <si>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</si>
  <si>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</si>
  <si>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</si>
  <si>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</si>
  <si>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</si>
  <si>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</si>
  <si>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</si>
  <si>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</si>
  <si>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</si>
  <si>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</si>
  <si>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</si>
  <si>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</si>
  <si>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</si>
  <si>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</si>
  <si>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</si>
  <si>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</si>
  <si>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</si>
  <si>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</si>
  <si>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</si>
  <si>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</si>
  <si>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</si>
  <si>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</si>
  <si>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</si>
  <si>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</si>
  <si>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</si>
  <si>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</si>
  <si>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</si>
  <si>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</si>
  <si>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</si>
  <si>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</si>
  <si>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</si>
  <si>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</si>
  <si>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</si>
  <si>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</si>
  <si>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</si>
  <si>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</si>
  <si>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</si>
  <si>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</si>
  <si>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</si>
  <si>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</si>
  <si>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</si>
  <si>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</si>
  <si>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</si>
  <si>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</si>
  <si>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</si>
  <si>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</si>
  <si>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</si>
  <si>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</si>
  <si>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</si>
  <si>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</si>
  <si>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</si>
  <si>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</si>
  <si>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</si>
  <si>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</si>
  <si>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</si>
  <si>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</si>
  <si>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</si>
  <si>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</si>
  <si>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</si>
  <si>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</si>
  <si>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</si>
  <si>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</si>
  <si>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</si>
  <si>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</si>
  <si>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</si>
  <si>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</si>
  <si>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</si>
  <si>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</si>
  <si>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</si>
  <si>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</si>
  <si>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</si>
  <si>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</si>
  <si>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</si>
  <si>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</si>
  <si>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</si>
  <si>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</si>
  <si>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</si>
  <si>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</si>
  <si>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</si>
  <si>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</si>
  <si>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</si>
  <si>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</si>
  <si>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</si>
  <si>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</si>
  <si>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</si>
  <si>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</si>
  <si>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</si>
  <si>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</si>
  <si>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</si>
  <si>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</si>
  <si>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</si>
  <si>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</si>
  <si>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</si>
  <si>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</si>
  <si>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</si>
  <si>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</si>
  <si>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</si>
  <si>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</si>
  <si>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</si>
  <si>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</si>
  <si>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</si>
  <si>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</si>
  <si>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</si>
  <si>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</si>
  <si>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</si>
  <si>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</si>
  <si>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</si>
  <si>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</si>
  <si>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</si>
  <si>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</si>
  <si>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</si>
  <si>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</si>
  <si>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</si>
  <si>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</si>
  <si>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</si>
  <si>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</si>
  <si>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</si>
  <si>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</si>
  <si>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</si>
  <si>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</si>
  <si>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</si>
  <si>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</si>
  <si>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</si>
  <si>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</si>
  <si>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</si>
  <si>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</si>
  <si>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</si>
  <si>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</si>
  <si>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</si>
  <si>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</si>
  <si>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</si>
  <si>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</si>
  <si>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</si>
  <si>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</si>
  <si>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</si>
  <si>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</si>
  <si>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</si>
  <si>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</si>
  <si>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</si>
  <si>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</si>
  <si>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</si>
  <si>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</si>
  <si>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</si>
  <si>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</si>
  <si>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</si>
  <si>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</si>
  <si>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</si>
  <si>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</si>
  <si>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</si>
  <si>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</si>
  <si>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</si>
  <si>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</si>
  <si>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</si>
  <si>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</si>
  <si>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</si>
  <si>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</si>
  <si>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</si>
  <si>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</si>
  <si>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</si>
  <si>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</si>
  <si>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</si>
  <si>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</si>
  <si>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</si>
  <si>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</si>
  <si>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</si>
  <si>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</si>
  <si>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</si>
  <si>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</si>
  <si>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</si>
  <si>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</si>
  <si>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</si>
  <si>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</si>
  <si>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</si>
  <si>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</si>
  <si>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</si>
  <si>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</si>
  <si>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</si>
  <si>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</si>
  <si>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</si>
  <si>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</si>
  <si>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</si>
  <si>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</si>
  <si>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</si>
  <si>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</si>
  <si>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</si>
  <si>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</si>
  <si>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</si>
  <si>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</si>
  <si>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</si>
  <si>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</si>
  <si>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</si>
  <si>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</si>
  <si>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</si>
  <si>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</si>
  <si>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</si>
  <si>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</si>
  <si>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</si>
  <si>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</si>
  <si>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</si>
  <si>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</si>
  <si>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</si>
  <si>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</si>
  <si>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</si>
  <si>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</si>
  <si>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</si>
  <si>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</si>
  <si>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</si>
  <si>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</si>
  <si>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</si>
  <si>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</si>
  <si>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</si>
  <si>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</si>
  <si>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</si>
  <si>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</si>
  <si>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</si>
  <si>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</si>
  <si>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</si>
  <si>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</si>
  <si>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</si>
  <si>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</si>
  <si>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</si>
  <si>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</si>
  <si>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</si>
  <si>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</si>
  <si>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</si>
  <si>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</si>
  <si>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</si>
  <si>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</si>
  <si>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</si>
  <si>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</si>
  <si>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</si>
  <si>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</si>
  <si>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</si>
  <si>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</si>
  <si>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</si>
  <si>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</si>
  <si>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</si>
  <si>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</si>
  <si>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</si>
  <si>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</si>
  <si>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</si>
  <si>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</si>
  <si>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</si>
  <si>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</si>
  <si>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</si>
  <si>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</si>
  <si>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</si>
  <si>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</si>
  <si>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</si>
  <si>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</si>
  <si>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</si>
  <si>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</si>
  <si>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</si>
  <si>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</si>
  <si>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</si>
  <si>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</si>
  <si>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</si>
  <si>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</si>
  <si>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</si>
  <si>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</si>
  <si>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</si>
  <si>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</si>
  <si>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</si>
  <si>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</si>
  <si>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</si>
  <si>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</si>
  <si>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</si>
  <si>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</si>
  <si>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</si>
  <si>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</si>
  <si>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</si>
  <si>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</si>
  <si>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</si>
  <si>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</si>
  <si>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</si>
  <si>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</si>
  <si>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</si>
  <si>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</si>
  <si>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</si>
  <si>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</si>
  <si>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</si>
  <si>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</si>
  <si>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</si>
  <si>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</si>
  <si>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</si>
  <si>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</si>
  <si>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</si>
  <si>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</si>
  <si>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</si>
  <si>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</si>
  <si>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</si>
  <si>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</si>
  <si>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</si>
  <si>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</si>
  <si>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</si>
  <si>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</si>
  <si>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</si>
  <si>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</si>
  <si>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</si>
  <si>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</si>
  <si>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</si>
  <si>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</si>
  <si>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</si>
  <si>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</si>
  <si>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</si>
  <si>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</si>
  <si>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</si>
  <si>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</si>
  <si>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</si>
  <si>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</si>
  <si>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</si>
  <si>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</si>
  <si>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</si>
  <si>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</si>
  <si>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</si>
  <si>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</si>
  <si>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</si>
  <si>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</si>
  <si>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МОНБАТ СЪРБИЯ</t>
  </si>
  <si>
    <t>2. SC MONBAT RECYCLING SRL Румъния</t>
  </si>
  <si>
    <t>1. "СТАРТ" АД</t>
  </si>
  <si>
    <t>03.2008 г.</t>
  </si>
  <si>
    <t>Дата на съставяне: 30.04.2008</t>
  </si>
  <si>
    <t xml:space="preserve">Дата на съставяне:             30.04.2008                          </t>
  </si>
  <si>
    <t xml:space="preserve">Дата  на съставяне: 30.04.2008                                                                                                                       </t>
  </si>
  <si>
    <t>Дата на съставяне 30.04.2008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</si>
</sst>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Border="1" applyAlignment="1" applyProtection="1">
      <alignment horizontal="centerContinuous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A85">
      <selection activeCell="A104" sqref="A10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573" t="s">
        <v>865</v>
      </c>
      <c r="F3" s="217" t="s">
        <v>2</v>
      </c>
      <c r="G3" s="172"/>
      <c r="H3" s="574">
        <v>111028849</v>
      </c>
    </row>
    <row r="4" spans="1:8" ht="15">
      <c r="A4" s="580" t="s">
        <v>3</v>
      </c>
      <c r="B4" s="586"/>
      <c r="C4" s="586"/>
      <c r="D4" s="586"/>
      <c r="E4" s="573" t="s">
        <v>866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3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4770</v>
      </c>
      <c r="D11" s="151">
        <v>4770</v>
      </c>
      <c r="E11" s="237" t="s">
        <v>22</v>
      </c>
      <c r="F11" s="242" t="s">
        <v>23</v>
      </c>
      <c r="G11" s="152">
        <v>19500</v>
      </c>
      <c r="H11" s="152">
        <v>19500</v>
      </c>
    </row>
    <row r="12" spans="1:8" ht="15">
      <c r="A12" s="235" t="s">
        <v>24</v>
      </c>
      <c r="B12" s="241" t="s">
        <v>25</v>
      </c>
      <c r="C12" s="151">
        <v>10093</v>
      </c>
      <c r="D12" s="151">
        <v>10105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16193</v>
      </c>
      <c r="D13" s="151">
        <v>15165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1502</v>
      </c>
      <c r="D14" s="151">
        <v>1509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1535</v>
      </c>
      <c r="D15" s="151">
        <v>1553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1687</v>
      </c>
      <c r="D16" s="151">
        <v>1431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10337</v>
      </c>
      <c r="D17" s="151">
        <v>5398</v>
      </c>
      <c r="E17" s="243" t="s">
        <v>46</v>
      </c>
      <c r="F17" s="245" t="s">
        <v>47</v>
      </c>
      <c r="G17" s="154">
        <f>G11+G14+G15+G16</f>
        <v>19500</v>
      </c>
      <c r="H17" s="154">
        <f>H11+H14+H15+H16</f>
        <v>19500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46117</v>
      </c>
      <c r="D19" s="155">
        <f>SUM(D11:D18)</f>
        <v>39931</v>
      </c>
      <c r="E19" s="237" t="s">
        <v>53</v>
      </c>
      <c r="F19" s="242" t="s">
        <v>54</v>
      </c>
      <c r="G19" s="152">
        <v>27965</v>
      </c>
      <c r="H19" s="152">
        <v>27965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13922</v>
      </c>
      <c r="H20" s="158">
        <v>13922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5082</v>
      </c>
      <c r="H21" s="156">
        <f>SUM(H22:H24)</f>
        <v>5082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5082</v>
      </c>
      <c r="H22" s="152">
        <v>5082</v>
      </c>
    </row>
    <row r="23" spans="1:13" ht="15">
      <c r="A23" s="235" t="s">
        <v>66</v>
      </c>
      <c r="B23" s="241" t="s">
        <v>67</v>
      </c>
      <c r="C23" s="151">
        <v>27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21</v>
      </c>
      <c r="D24" s="151">
        <v>23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46969</v>
      </c>
      <c r="H25" s="154">
        <f>H19+H20+H21</f>
        <v>46969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48</v>
      </c>
      <c r="D27" s="155">
        <f>SUM(D23:D26)</f>
        <v>51</v>
      </c>
      <c r="E27" s="253" t="s">
        <v>83</v>
      </c>
      <c r="F27" s="242" t="s">
        <v>84</v>
      </c>
      <c r="G27" s="154">
        <f>SUM(G28:G30)</f>
        <v>20850</v>
      </c>
      <c r="H27" s="154">
        <f>SUM(H28:H30)</f>
        <v>3441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20850</v>
      </c>
      <c r="H28" s="152">
        <v>3441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4111</v>
      </c>
      <c r="D30" s="151">
        <v>4111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10065</v>
      </c>
      <c r="H31" s="152">
        <v>17409</v>
      </c>
      <c r="M31" s="157"/>
    </row>
    <row r="32" spans="1:15" ht="15">
      <c r="A32" s="235" t="s">
        <v>98</v>
      </c>
      <c r="B32" s="250" t="s">
        <v>99</v>
      </c>
      <c r="C32" s="155">
        <f>C30+C31</f>
        <v>4111</v>
      </c>
      <c r="D32" s="155">
        <f>D30+D31</f>
        <v>4111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30915</v>
      </c>
      <c r="H33" s="154">
        <f>H27+H31+H32</f>
        <v>20850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4860</v>
      </c>
      <c r="D34" s="155">
        <f>SUM(D35:D38)</f>
        <v>4860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4860</v>
      </c>
      <c r="D35" s="151">
        <v>4860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97384</v>
      </c>
      <c r="H36" s="154">
        <f>H25+H17+H33</f>
        <v>87319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16167</v>
      </c>
      <c r="H44" s="152">
        <v>18897</v>
      </c>
    </row>
    <row r="45" spans="1:15" ht="15">
      <c r="A45" s="235" t="s">
        <v>136</v>
      </c>
      <c r="B45" s="249" t="s">
        <v>137</v>
      </c>
      <c r="C45" s="155">
        <f>C34+C39+C44</f>
        <v>4860</v>
      </c>
      <c r="D45" s="155">
        <f>D34+D39+D44</f>
        <v>4860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706</v>
      </c>
      <c r="H46" s="152">
        <v>706</v>
      </c>
    </row>
    <row r="47" spans="1:13" ht="15">
      <c r="A47" s="235" t="s">
        <v>143</v>
      </c>
      <c r="B47" s="241" t="s">
        <v>144</v>
      </c>
      <c r="C47" s="151">
        <v>11592</v>
      </c>
      <c r="D47" s="151">
        <v>8890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16873</v>
      </c>
      <c r="H49" s="154">
        <f>SUM(H43:H48)</f>
        <v>19603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11592</v>
      </c>
      <c r="D51" s="155">
        <f>SUM(D47:D50)</f>
        <v>8890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1816</v>
      </c>
      <c r="H53" s="152">
        <v>1816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66728</v>
      </c>
      <c r="D55" s="155">
        <f>D19+D20+D21+D27+D32+D45+D51+D53+D54</f>
        <v>57843</v>
      </c>
      <c r="E55" s="237" t="s">
        <v>172</v>
      </c>
      <c r="F55" s="261" t="s">
        <v>173</v>
      </c>
      <c r="G55" s="154">
        <f>G49+G51+G52+G53+G54</f>
        <v>18689</v>
      </c>
      <c r="H55" s="154">
        <f>H49+H51+H52+H53+H54</f>
        <v>21419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7834</v>
      </c>
      <c r="D58" s="151">
        <v>11706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4767</v>
      </c>
      <c r="D59" s="151">
        <v>5692</v>
      </c>
      <c r="E59" s="251" t="s">
        <v>181</v>
      </c>
      <c r="F59" s="242" t="s">
        <v>182</v>
      </c>
      <c r="G59" s="152"/>
      <c r="H59" s="152">
        <v>5623</v>
      </c>
      <c r="M59" s="157"/>
    </row>
    <row r="60" spans="1:8" ht="15">
      <c r="A60" s="235" t="s">
        <v>183</v>
      </c>
      <c r="B60" s="241" t="s">
        <v>184</v>
      </c>
      <c r="C60" s="151">
        <v>643</v>
      </c>
      <c r="D60" s="151">
        <v>699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25127</v>
      </c>
      <c r="D61" s="151">
        <v>21782</v>
      </c>
      <c r="E61" s="243" t="s">
        <v>189</v>
      </c>
      <c r="F61" s="272" t="s">
        <v>190</v>
      </c>
      <c r="G61" s="154">
        <f>SUM(G62:G68)</f>
        <v>23936</v>
      </c>
      <c r="H61" s="154">
        <f>SUM(H62:H68)</f>
        <v>13826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38371</v>
      </c>
      <c r="D64" s="155">
        <f>SUM(D58:D63)</f>
        <v>39879</v>
      </c>
      <c r="E64" s="237" t="s">
        <v>200</v>
      </c>
      <c r="F64" s="242" t="s">
        <v>201</v>
      </c>
      <c r="G64" s="152">
        <v>21603</v>
      </c>
      <c r="H64" s="152">
        <v>11544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225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554</v>
      </c>
      <c r="H66" s="152">
        <v>595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471</v>
      </c>
      <c r="H67" s="152">
        <v>233</v>
      </c>
    </row>
    <row r="68" spans="1:8" ht="15">
      <c r="A68" s="235" t="s">
        <v>211</v>
      </c>
      <c r="B68" s="241" t="s">
        <v>212</v>
      </c>
      <c r="C68" s="151">
        <v>25450</v>
      </c>
      <c r="D68" s="151">
        <v>23306</v>
      </c>
      <c r="E68" s="237" t="s">
        <v>213</v>
      </c>
      <c r="F68" s="242" t="s">
        <v>214</v>
      </c>
      <c r="G68" s="152">
        <v>1083</v>
      </c>
      <c r="H68" s="152">
        <v>1278</v>
      </c>
    </row>
    <row r="69" spans="1:8" ht="15">
      <c r="A69" s="235" t="s">
        <v>215</v>
      </c>
      <c r="B69" s="241" t="s">
        <v>216</v>
      </c>
      <c r="C69" s="151">
        <v>970</v>
      </c>
      <c r="D69" s="151">
        <v>386</v>
      </c>
      <c r="E69" s="251" t="s">
        <v>78</v>
      </c>
      <c r="F69" s="242" t="s">
        <v>217</v>
      </c>
      <c r="G69" s="152">
        <v>69</v>
      </c>
      <c r="H69" s="152">
        <v>60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633</v>
      </c>
      <c r="D71" s="151">
        <v>633</v>
      </c>
      <c r="E71" s="253" t="s">
        <v>46</v>
      </c>
      <c r="F71" s="273" t="s">
        <v>224</v>
      </c>
      <c r="G71" s="161">
        <f>G59+G60+G61+G69+G70</f>
        <v>24005</v>
      </c>
      <c r="H71" s="161">
        <f>H59+H60+H61+H69+H70</f>
        <v>19509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3544</v>
      </c>
      <c r="D72" s="151">
        <v>440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2080</v>
      </c>
      <c r="D74" s="151">
        <v>934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32677</v>
      </c>
      <c r="D75" s="155">
        <f>SUM(D67:D74)</f>
        <v>25699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24005</v>
      </c>
      <c r="H79" s="162">
        <f>H71+H74+H75+H76</f>
        <v>19509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58</v>
      </c>
      <c r="D87" s="151">
        <v>1239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2065</v>
      </c>
      <c r="D88" s="151">
        <v>3441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106</v>
      </c>
      <c r="D89" s="151">
        <v>93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2229</v>
      </c>
      <c r="D91" s="155">
        <f>SUM(D87:D90)</f>
        <v>4773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73</v>
      </c>
      <c r="D92" s="151">
        <v>53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73350</v>
      </c>
      <c r="D93" s="155">
        <f>D64+D75+D84+D91+D92</f>
        <v>70404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140078</v>
      </c>
      <c r="D94" s="164">
        <f>D93+D55</f>
        <v>128247</v>
      </c>
      <c r="E94" s="449" t="s">
        <v>270</v>
      </c>
      <c r="F94" s="289" t="s">
        <v>271</v>
      </c>
      <c r="G94" s="165">
        <f>G36+G39+G55+G79</f>
        <v>140078</v>
      </c>
      <c r="H94" s="165">
        <f>H36+H39+H55+H79</f>
        <v>128247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A34">
      <selection activeCell="B51" sqref="B5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9" t="str">
        <f>'справка №1-БАЛАНС'!E3</f>
        <v>"МОНБАТ" АД</v>
      </c>
      <c r="C2" s="589"/>
      <c r="D2" s="589"/>
      <c r="E2" s="589"/>
      <c r="F2" s="576" t="s">
        <v>2</v>
      </c>
      <c r="G2" s="576"/>
      <c r="H2" s="524">
        <f>'справка №1-БАЛАНС'!H3</f>
        <v>111028849</v>
      </c>
    </row>
    <row r="3" spans="1:8" ht="15">
      <c r="A3" s="466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90" t="str">
        <f>'справка №1-БАЛАНС'!E5</f>
        <v>03.2008 г.</v>
      </c>
      <c r="C4" s="590"/>
      <c r="D4" s="590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41746-5308</f>
        <v>36438</v>
      </c>
      <c r="D9" s="46">
        <f>20137-8</f>
        <v>20129</v>
      </c>
      <c r="E9" s="298" t="s">
        <v>285</v>
      </c>
      <c r="F9" s="547" t="s">
        <v>286</v>
      </c>
      <c r="G9" s="548">
        <v>50414</v>
      </c>
      <c r="H9" s="548">
        <v>25469</v>
      </c>
    </row>
    <row r="10" spans="1:8" ht="12">
      <c r="A10" s="298" t="s">
        <v>287</v>
      </c>
      <c r="B10" s="299" t="s">
        <v>288</v>
      </c>
      <c r="C10" s="46">
        <f>3613-494</f>
        <v>3119</v>
      </c>
      <c r="D10" s="46">
        <f>2428-225</f>
        <v>2203</v>
      </c>
      <c r="E10" s="298" t="s">
        <v>289</v>
      </c>
      <c r="F10" s="547" t="s">
        <v>290</v>
      </c>
      <c r="G10" s="548">
        <v>69</v>
      </c>
      <c r="H10" s="548"/>
    </row>
    <row r="11" spans="1:8" ht="12">
      <c r="A11" s="298" t="s">
        <v>291</v>
      </c>
      <c r="B11" s="299" t="s">
        <v>292</v>
      </c>
      <c r="C11" s="46">
        <v>812</v>
      </c>
      <c r="D11" s="46">
        <v>1056</v>
      </c>
      <c r="E11" s="300" t="s">
        <v>293</v>
      </c>
      <c r="F11" s="547" t="s">
        <v>294</v>
      </c>
      <c r="G11" s="548">
        <v>336</v>
      </c>
      <c r="H11" s="548">
        <v>16</v>
      </c>
    </row>
    <row r="12" spans="1:8" ht="12">
      <c r="A12" s="298" t="s">
        <v>295</v>
      </c>
      <c r="B12" s="299" t="s">
        <v>296</v>
      </c>
      <c r="C12" s="46">
        <v>2320</v>
      </c>
      <c r="D12" s="46">
        <v>1742</v>
      </c>
      <c r="E12" s="300" t="s">
        <v>78</v>
      </c>
      <c r="F12" s="547" t="s">
        <v>297</v>
      </c>
      <c r="G12" s="548">
        <v>4574</v>
      </c>
      <c r="H12" s="548">
        <v>393</v>
      </c>
    </row>
    <row r="13" spans="1:18" ht="12">
      <c r="A13" s="298" t="s">
        <v>298</v>
      </c>
      <c r="B13" s="299" t="s">
        <v>299</v>
      </c>
      <c r="C13" s="46">
        <v>495</v>
      </c>
      <c r="D13" s="46">
        <v>424</v>
      </c>
      <c r="E13" s="301" t="s">
        <v>51</v>
      </c>
      <c r="F13" s="549" t="s">
        <v>300</v>
      </c>
      <c r="G13" s="546">
        <f>SUM(G9:G12)</f>
        <v>55393</v>
      </c>
      <c r="H13" s="546">
        <f>SUM(H9:H12)</f>
        <v>25878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4085</v>
      </c>
      <c r="D14" s="46">
        <v>162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-2420</v>
      </c>
      <c r="D15" s="47">
        <v>-3477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244</v>
      </c>
      <c r="D16" s="47">
        <v>276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45093</v>
      </c>
      <c r="D19" s="49">
        <f>SUM(D9:D15)+D16</f>
        <v>22515</v>
      </c>
      <c r="E19" s="304" t="s">
        <v>317</v>
      </c>
      <c r="F19" s="550" t="s">
        <v>318</v>
      </c>
      <c r="G19" s="548">
        <v>259</v>
      </c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350</v>
      </c>
      <c r="D22" s="46">
        <v>24</v>
      </c>
      <c r="E22" s="304" t="s">
        <v>326</v>
      </c>
      <c r="F22" s="550" t="s">
        <v>327</v>
      </c>
      <c r="G22" s="548">
        <v>67</v>
      </c>
      <c r="H22" s="548">
        <v>37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74</v>
      </c>
      <c r="D24" s="46">
        <v>40</v>
      </c>
      <c r="E24" s="301" t="s">
        <v>103</v>
      </c>
      <c r="F24" s="552" t="s">
        <v>334</v>
      </c>
      <c r="G24" s="546">
        <f>SUM(G19:G23)</f>
        <v>326</v>
      </c>
      <c r="H24" s="546">
        <f>SUM(H19:H23)</f>
        <v>37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137</v>
      </c>
      <c r="D25" s="46">
        <v>49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561</v>
      </c>
      <c r="D26" s="49">
        <f>SUM(D22:D25)</f>
        <v>113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45654</v>
      </c>
      <c r="D28" s="50">
        <f>D26+D19</f>
        <v>22628</v>
      </c>
      <c r="E28" s="127" t="s">
        <v>339</v>
      </c>
      <c r="F28" s="552" t="s">
        <v>340</v>
      </c>
      <c r="G28" s="546">
        <f>G13+G15+G24</f>
        <v>55719</v>
      </c>
      <c r="H28" s="546">
        <f>H13+H15+H24</f>
        <v>25915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10065</v>
      </c>
      <c r="D30" s="50">
        <f>IF((H28-D28)&gt;0,H28-D28,0)</f>
        <v>3287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>
        <v>5</v>
      </c>
    </row>
    <row r="33" spans="1:18" ht="12">
      <c r="A33" s="128" t="s">
        <v>351</v>
      </c>
      <c r="B33" s="306" t="s">
        <v>352</v>
      </c>
      <c r="C33" s="49">
        <f>C28-C31+C32</f>
        <v>45654</v>
      </c>
      <c r="D33" s="49">
        <f>D28-D31+D32</f>
        <v>22628</v>
      </c>
      <c r="E33" s="127" t="s">
        <v>353</v>
      </c>
      <c r="F33" s="552" t="s">
        <v>354</v>
      </c>
      <c r="G33" s="53">
        <f>G32-G31+G28</f>
        <v>55719</v>
      </c>
      <c r="H33" s="53">
        <f>H32-H31+H28</f>
        <v>25920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10065</v>
      </c>
      <c r="D34" s="50">
        <f>IF((H33-D33)&gt;0,H33-D33,0)</f>
        <v>3292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10065</v>
      </c>
      <c r="D39" s="460">
        <f>+IF((H33-D33-D35)&gt;0,H33-D33-D35,0)</f>
        <v>3292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10065</v>
      </c>
      <c r="D41" s="52">
        <f>IF(H39=0,IF(D39-D40&gt;0,D39-D40+H40,0),IF(H39-H40&lt;0,H40-H39+D39,0))</f>
        <v>3292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55719</v>
      </c>
      <c r="D42" s="53">
        <f>D33+D35+D39</f>
        <v>25920</v>
      </c>
      <c r="E42" s="128" t="s">
        <v>380</v>
      </c>
      <c r="F42" s="129" t="s">
        <v>381</v>
      </c>
      <c r="G42" s="53">
        <f>G39+G33</f>
        <v>55719</v>
      </c>
      <c r="H42" s="53">
        <f>H39+H33</f>
        <v>25920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631">
        <v>39568</v>
      </c>
      <c r="C48" s="427" t="s">
        <v>382</v>
      </c>
      <c r="D48" s="587"/>
      <c r="E48" s="587"/>
      <c r="F48" s="587"/>
      <c r="G48" s="587"/>
      <c r="H48" s="587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783</v>
      </c>
      <c r="D50" s="588"/>
      <c r="E50" s="588"/>
      <c r="F50" s="588"/>
      <c r="G50" s="588"/>
      <c r="H50" s="588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37">
      <selection activeCell="A59" sqref="A5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03.2008 г.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54319</v>
      </c>
      <c r="D10" s="54">
        <v>24278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-38064</v>
      </c>
      <c r="D11" s="54">
        <v>-26775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-2517</v>
      </c>
      <c r="D13" s="54">
        <v>-1844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730</v>
      </c>
      <c r="D14" s="54">
        <v>3984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-81</v>
      </c>
      <c r="D15" s="54">
        <v>-196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-74</v>
      </c>
      <c r="D18" s="54">
        <v>-10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-142</v>
      </c>
      <c r="D19" s="54">
        <v>-256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14171</v>
      </c>
      <c r="D20" s="55">
        <f>SUM(D10:D19)</f>
        <v>-819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-4379</v>
      </c>
      <c r="D22" s="54">
        <v>-2098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-2702</v>
      </c>
      <c r="D31" s="54">
        <v>-5785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-7081</v>
      </c>
      <c r="D32" s="55">
        <f>SUM(D22:D31)</f>
        <v>-7883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1998</v>
      </c>
      <c r="D36" s="54">
        <v>9896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-11174</v>
      </c>
      <c r="D37" s="54">
        <v>-298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-324</v>
      </c>
      <c r="D39" s="54">
        <v>-25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-134</v>
      </c>
      <c r="D41" s="54">
        <v>-49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-9634</v>
      </c>
      <c r="D42" s="55">
        <f>SUM(D34:D41)</f>
        <v>9524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-2544</v>
      </c>
      <c r="D43" s="55">
        <f>D42+D32+D20</f>
        <v>822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4773</v>
      </c>
      <c r="D44" s="132">
        <v>5855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2229</v>
      </c>
      <c r="D45" s="55">
        <f>D44+D43</f>
        <v>6677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+C45-C47</f>
        <v>2123</v>
      </c>
      <c r="D46" s="56">
        <f>+D45-D47</f>
        <v>6594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106</v>
      </c>
      <c r="D47" s="56">
        <v>83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A46" sqref="A46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03.2008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19500</v>
      </c>
      <c r="D11" s="58">
        <f>'справка №1-БАЛАНС'!H19</f>
        <v>27965</v>
      </c>
      <c r="E11" s="58">
        <f>'справка №1-БАЛАНС'!H20</f>
        <v>13922</v>
      </c>
      <c r="F11" s="58">
        <f>'справка №1-БАЛАНС'!H22</f>
        <v>5082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20850</v>
      </c>
      <c r="J11" s="58">
        <f>'справка №1-БАЛАНС'!H29+'справка №1-БАЛАНС'!H32</f>
        <v>0</v>
      </c>
      <c r="K11" s="60"/>
      <c r="L11" s="344">
        <f>SUM(C11:K11)</f>
        <v>87319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19500</v>
      </c>
      <c r="D15" s="61">
        <f aca="true" t="shared" si="2" ref="D15:M15">D11+D12</f>
        <v>27965</v>
      </c>
      <c r="E15" s="61">
        <f t="shared" si="2"/>
        <v>13922</v>
      </c>
      <c r="F15" s="61">
        <f t="shared" si="2"/>
        <v>5082</v>
      </c>
      <c r="G15" s="61">
        <f t="shared" si="2"/>
        <v>0</v>
      </c>
      <c r="H15" s="61">
        <f t="shared" si="2"/>
        <v>0</v>
      </c>
      <c r="I15" s="61">
        <f t="shared" si="2"/>
        <v>20850</v>
      </c>
      <c r="J15" s="61">
        <f t="shared" si="2"/>
        <v>0</v>
      </c>
      <c r="K15" s="61">
        <f t="shared" si="2"/>
        <v>0</v>
      </c>
      <c r="L15" s="344">
        <f t="shared" si="1"/>
        <v>87319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10065</v>
      </c>
      <c r="J16" s="345">
        <f>+'справка №1-БАЛАНС'!G32</f>
        <v>0</v>
      </c>
      <c r="K16" s="60"/>
      <c r="L16" s="344">
        <f t="shared" si="1"/>
        <v>10065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19500</v>
      </c>
      <c r="D29" s="59">
        <f aca="true" t="shared" si="6" ref="D29:M29">D17+D20+D21+D24+D28+D27+D15+D16</f>
        <v>27965</v>
      </c>
      <c r="E29" s="59">
        <f t="shared" si="6"/>
        <v>13922</v>
      </c>
      <c r="F29" s="59">
        <f t="shared" si="6"/>
        <v>5082</v>
      </c>
      <c r="G29" s="59">
        <f t="shared" si="6"/>
        <v>0</v>
      </c>
      <c r="H29" s="59">
        <f t="shared" si="6"/>
        <v>0</v>
      </c>
      <c r="I29" s="59">
        <f t="shared" si="6"/>
        <v>30915</v>
      </c>
      <c r="J29" s="59">
        <f t="shared" si="6"/>
        <v>0</v>
      </c>
      <c r="K29" s="59">
        <f t="shared" si="6"/>
        <v>0</v>
      </c>
      <c r="L29" s="344">
        <f t="shared" si="1"/>
        <v>97384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19500</v>
      </c>
      <c r="D32" s="59">
        <f t="shared" si="7"/>
        <v>27965</v>
      </c>
      <c r="E32" s="59">
        <f t="shared" si="7"/>
        <v>13922</v>
      </c>
      <c r="F32" s="59">
        <f t="shared" si="7"/>
        <v>5082</v>
      </c>
      <c r="G32" s="59">
        <f t="shared" si="7"/>
        <v>0</v>
      </c>
      <c r="H32" s="59">
        <f t="shared" si="7"/>
        <v>0</v>
      </c>
      <c r="I32" s="59">
        <f t="shared" si="7"/>
        <v>30915</v>
      </c>
      <c r="J32" s="59">
        <f t="shared" si="7"/>
        <v>0</v>
      </c>
      <c r="K32" s="59">
        <f t="shared" si="7"/>
        <v>0</v>
      </c>
      <c r="L32" s="344">
        <f t="shared" si="1"/>
        <v>97384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15" zoomScaleNormal="115" workbookViewId="0" topLeftCell="G25">
      <selection activeCell="N50" sqref="N5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"МОНБАТ"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№1-БАЛАНС'!E5</f>
        <v>03.2008 г.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4770</v>
      </c>
      <c r="E9" s="189"/>
      <c r="F9" s="189"/>
      <c r="G9" s="74">
        <f>D9+E9-F9</f>
        <v>4770</v>
      </c>
      <c r="H9" s="65"/>
      <c r="I9" s="65"/>
      <c r="J9" s="74">
        <f>G9+H9-I9</f>
        <v>4770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4770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11575</v>
      </c>
      <c r="E10" s="189">
        <v>47</v>
      </c>
      <c r="F10" s="189"/>
      <c r="G10" s="74">
        <f aca="true" t="shared" si="2" ref="G10:G39">D10+E10-F10</f>
        <v>11622</v>
      </c>
      <c r="H10" s="65"/>
      <c r="I10" s="65"/>
      <c r="J10" s="74">
        <f aca="true" t="shared" si="3" ref="J10:J39">G10+H10-I10</f>
        <v>11622</v>
      </c>
      <c r="K10" s="65">
        <v>1470</v>
      </c>
      <c r="L10" s="65">
        <v>59</v>
      </c>
      <c r="M10" s="65"/>
      <c r="N10" s="74">
        <f aca="true" t="shared" si="4" ref="N10:N39">K10+L10-M10</f>
        <v>1529</v>
      </c>
      <c r="O10" s="65"/>
      <c r="P10" s="65"/>
      <c r="Q10" s="74">
        <f t="shared" si="0"/>
        <v>1529</v>
      </c>
      <c r="R10" s="74">
        <f t="shared" si="1"/>
        <v>10093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38259</v>
      </c>
      <c r="E11" s="189">
        <v>1861</v>
      </c>
      <c r="F11" s="189">
        <v>263</v>
      </c>
      <c r="G11" s="74">
        <f t="shared" si="2"/>
        <v>39857</v>
      </c>
      <c r="H11" s="65"/>
      <c r="I11" s="65"/>
      <c r="J11" s="74">
        <f t="shared" si="3"/>
        <v>39857</v>
      </c>
      <c r="K11" s="65">
        <v>23094</v>
      </c>
      <c r="L11" s="65">
        <v>573</v>
      </c>
      <c r="M11" s="65">
        <v>3</v>
      </c>
      <c r="N11" s="74">
        <f t="shared" si="4"/>
        <v>23664</v>
      </c>
      <c r="O11" s="65"/>
      <c r="P11" s="65"/>
      <c r="Q11" s="74">
        <f t="shared" si="0"/>
        <v>23664</v>
      </c>
      <c r="R11" s="74">
        <f t="shared" si="1"/>
        <v>16193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1779</v>
      </c>
      <c r="E12" s="189">
        <v>616</v>
      </c>
      <c r="F12" s="189">
        <v>606</v>
      </c>
      <c r="G12" s="74">
        <f t="shared" si="2"/>
        <v>1789</v>
      </c>
      <c r="H12" s="65"/>
      <c r="I12" s="65"/>
      <c r="J12" s="74">
        <f t="shared" si="3"/>
        <v>1789</v>
      </c>
      <c r="K12" s="65">
        <v>270</v>
      </c>
      <c r="L12" s="65">
        <v>17</v>
      </c>
      <c r="M12" s="65"/>
      <c r="N12" s="74">
        <f t="shared" si="4"/>
        <v>287</v>
      </c>
      <c r="O12" s="65"/>
      <c r="P12" s="65"/>
      <c r="Q12" s="74">
        <f t="shared" si="0"/>
        <v>287</v>
      </c>
      <c r="R12" s="74">
        <f t="shared" si="1"/>
        <v>1502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2818</v>
      </c>
      <c r="E13" s="189">
        <v>82</v>
      </c>
      <c r="F13" s="189">
        <v>11</v>
      </c>
      <c r="G13" s="74">
        <f t="shared" si="2"/>
        <v>2889</v>
      </c>
      <c r="H13" s="65"/>
      <c r="I13" s="65"/>
      <c r="J13" s="74">
        <f t="shared" si="3"/>
        <v>2889</v>
      </c>
      <c r="K13" s="65">
        <v>1265</v>
      </c>
      <c r="L13" s="65">
        <v>90</v>
      </c>
      <c r="M13" s="65">
        <v>1</v>
      </c>
      <c r="N13" s="74">
        <f t="shared" si="4"/>
        <v>1354</v>
      </c>
      <c r="O13" s="65"/>
      <c r="P13" s="65"/>
      <c r="Q13" s="74">
        <f t="shared" si="0"/>
        <v>1354</v>
      </c>
      <c r="R13" s="74">
        <f t="shared" si="1"/>
        <v>1535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2238</v>
      </c>
      <c r="E14" s="189">
        <v>326</v>
      </c>
      <c r="F14" s="189"/>
      <c r="G14" s="74">
        <f t="shared" si="2"/>
        <v>2564</v>
      </c>
      <c r="H14" s="65"/>
      <c r="I14" s="65"/>
      <c r="J14" s="74">
        <f t="shared" si="3"/>
        <v>2564</v>
      </c>
      <c r="K14" s="65">
        <v>807</v>
      </c>
      <c r="L14" s="65">
        <v>70</v>
      </c>
      <c r="M14" s="65"/>
      <c r="N14" s="74">
        <f t="shared" si="4"/>
        <v>877</v>
      </c>
      <c r="O14" s="65"/>
      <c r="P14" s="65"/>
      <c r="Q14" s="74">
        <f t="shared" si="0"/>
        <v>877</v>
      </c>
      <c r="R14" s="74">
        <f t="shared" si="1"/>
        <v>1687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860</v>
      </c>
      <c r="B15" s="374" t="s">
        <v>861</v>
      </c>
      <c r="C15" s="456" t="s">
        <v>862</v>
      </c>
      <c r="D15" s="457">
        <v>5398</v>
      </c>
      <c r="E15" s="457">
        <v>5801</v>
      </c>
      <c r="F15" s="457">
        <v>862</v>
      </c>
      <c r="G15" s="74">
        <f t="shared" si="2"/>
        <v>10337</v>
      </c>
      <c r="H15" s="458"/>
      <c r="I15" s="458"/>
      <c r="J15" s="74">
        <f t="shared" si="3"/>
        <v>10337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10337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66837</v>
      </c>
      <c r="E17" s="194">
        <f>SUM(E9:E16)</f>
        <v>8733</v>
      </c>
      <c r="F17" s="194">
        <f>SUM(F9:F16)</f>
        <v>1742</v>
      </c>
      <c r="G17" s="74">
        <f t="shared" si="2"/>
        <v>73828</v>
      </c>
      <c r="H17" s="75">
        <f>SUM(H9:H16)</f>
        <v>0</v>
      </c>
      <c r="I17" s="75">
        <f>SUM(I9:I16)</f>
        <v>0</v>
      </c>
      <c r="J17" s="74">
        <f t="shared" si="3"/>
        <v>73828</v>
      </c>
      <c r="K17" s="75">
        <f>SUM(K9:K16)</f>
        <v>26906</v>
      </c>
      <c r="L17" s="75">
        <f>SUM(L9:L16)</f>
        <v>809</v>
      </c>
      <c r="M17" s="75">
        <f>SUM(M9:M16)</f>
        <v>4</v>
      </c>
      <c r="N17" s="74">
        <f t="shared" si="4"/>
        <v>27711</v>
      </c>
      <c r="O17" s="75">
        <f>SUM(O9:O16)</f>
        <v>0</v>
      </c>
      <c r="P17" s="75">
        <f>SUM(P9:P16)</f>
        <v>0</v>
      </c>
      <c r="Q17" s="74">
        <f t="shared" si="5"/>
        <v>27711</v>
      </c>
      <c r="R17" s="74">
        <f t="shared" si="6"/>
        <v>46117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958</v>
      </c>
      <c r="E21" s="189"/>
      <c r="F21" s="189"/>
      <c r="G21" s="74">
        <f t="shared" si="2"/>
        <v>958</v>
      </c>
      <c r="H21" s="65"/>
      <c r="I21" s="65"/>
      <c r="J21" s="74">
        <f t="shared" si="3"/>
        <v>958</v>
      </c>
      <c r="K21" s="65">
        <v>930</v>
      </c>
      <c r="L21" s="65">
        <v>1</v>
      </c>
      <c r="M21" s="65"/>
      <c r="N21" s="74">
        <f t="shared" si="4"/>
        <v>931</v>
      </c>
      <c r="O21" s="65"/>
      <c r="P21" s="65"/>
      <c r="Q21" s="74">
        <f t="shared" si="5"/>
        <v>931</v>
      </c>
      <c r="R21" s="74">
        <f t="shared" si="6"/>
        <v>27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144</v>
      </c>
      <c r="E22" s="189"/>
      <c r="F22" s="189"/>
      <c r="G22" s="74">
        <f t="shared" si="2"/>
        <v>144</v>
      </c>
      <c r="H22" s="65"/>
      <c r="I22" s="65"/>
      <c r="J22" s="74">
        <f t="shared" si="3"/>
        <v>144</v>
      </c>
      <c r="K22" s="65">
        <v>121</v>
      </c>
      <c r="L22" s="65">
        <v>2</v>
      </c>
      <c r="M22" s="65"/>
      <c r="N22" s="74">
        <f t="shared" si="4"/>
        <v>123</v>
      </c>
      <c r="O22" s="65"/>
      <c r="P22" s="65"/>
      <c r="Q22" s="74">
        <f t="shared" si="5"/>
        <v>123</v>
      </c>
      <c r="R22" s="74">
        <f t="shared" si="6"/>
        <v>21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1104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1104</v>
      </c>
      <c r="H25" s="66">
        <f t="shared" si="7"/>
        <v>0</v>
      </c>
      <c r="I25" s="66">
        <f t="shared" si="7"/>
        <v>0</v>
      </c>
      <c r="J25" s="67">
        <f t="shared" si="3"/>
        <v>1104</v>
      </c>
      <c r="K25" s="66">
        <f t="shared" si="7"/>
        <v>1053</v>
      </c>
      <c r="L25" s="66">
        <f t="shared" si="7"/>
        <v>3</v>
      </c>
      <c r="M25" s="66">
        <f t="shared" si="7"/>
        <v>0</v>
      </c>
      <c r="N25" s="67">
        <f t="shared" si="4"/>
        <v>1056</v>
      </c>
      <c r="O25" s="66">
        <f t="shared" si="7"/>
        <v>0</v>
      </c>
      <c r="P25" s="66">
        <f t="shared" si="7"/>
        <v>0</v>
      </c>
      <c r="Q25" s="67">
        <f t="shared" si="5"/>
        <v>1056</v>
      </c>
      <c r="R25" s="67">
        <f t="shared" si="6"/>
        <v>48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4860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4860</v>
      </c>
      <c r="H27" s="70">
        <f t="shared" si="8"/>
        <v>0</v>
      </c>
      <c r="I27" s="70">
        <f t="shared" si="8"/>
        <v>0</v>
      </c>
      <c r="J27" s="71">
        <f t="shared" si="3"/>
        <v>4860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4860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4860</v>
      </c>
      <c r="E28" s="189"/>
      <c r="F28" s="189"/>
      <c r="G28" s="74">
        <f t="shared" si="2"/>
        <v>4860</v>
      </c>
      <c r="H28" s="65"/>
      <c r="I28" s="65"/>
      <c r="J28" s="74">
        <f t="shared" si="3"/>
        <v>4860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4860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4860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4860</v>
      </c>
      <c r="H38" s="75">
        <f t="shared" si="12"/>
        <v>0</v>
      </c>
      <c r="I38" s="75">
        <f t="shared" si="12"/>
        <v>0</v>
      </c>
      <c r="J38" s="74">
        <f t="shared" si="3"/>
        <v>4860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4860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>
        <v>4111</v>
      </c>
      <c r="E39" s="570"/>
      <c r="F39" s="570"/>
      <c r="G39" s="74">
        <f t="shared" si="2"/>
        <v>4111</v>
      </c>
      <c r="H39" s="570"/>
      <c r="I39" s="570"/>
      <c r="J39" s="74">
        <f t="shared" si="3"/>
        <v>4111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4111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76912</v>
      </c>
      <c r="E40" s="438">
        <f>E17+E18+E19+E25+E38+E39</f>
        <v>8733</v>
      </c>
      <c r="F40" s="438">
        <f aca="true" t="shared" si="13" ref="F40:R40">F17+F18+F19+F25+F38+F39</f>
        <v>1742</v>
      </c>
      <c r="G40" s="438">
        <f t="shared" si="13"/>
        <v>83903</v>
      </c>
      <c r="H40" s="438">
        <f t="shared" si="13"/>
        <v>0</v>
      </c>
      <c r="I40" s="438">
        <f t="shared" si="13"/>
        <v>0</v>
      </c>
      <c r="J40" s="438">
        <f t="shared" si="13"/>
        <v>83903</v>
      </c>
      <c r="K40" s="438">
        <f t="shared" si="13"/>
        <v>27959</v>
      </c>
      <c r="L40" s="438">
        <f t="shared" si="13"/>
        <v>812</v>
      </c>
      <c r="M40" s="438">
        <f t="shared" si="13"/>
        <v>4</v>
      </c>
      <c r="N40" s="438">
        <f t="shared" si="13"/>
        <v>28767</v>
      </c>
      <c r="O40" s="438">
        <f t="shared" si="13"/>
        <v>0</v>
      </c>
      <c r="P40" s="438">
        <f t="shared" si="13"/>
        <v>0</v>
      </c>
      <c r="Q40" s="438">
        <f t="shared" si="13"/>
        <v>28767</v>
      </c>
      <c r="R40" s="438">
        <f t="shared" si="13"/>
        <v>55136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632">
        <v>39568</v>
      </c>
      <c r="K44" s="608"/>
      <c r="L44" s="608"/>
      <c r="M44" s="608"/>
      <c r="N44" s="608"/>
      <c r="O44" s="609" t="s">
        <v>783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93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611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03.2008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612</v>
      </c>
      <c r="B5" s="495"/>
      <c r="C5" s="496"/>
      <c r="D5" s="107"/>
      <c r="E5" s="497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11592</v>
      </c>
      <c r="D11" s="119">
        <f>SUM(D12:D14)</f>
        <v>0</v>
      </c>
      <c r="E11" s="120">
        <f>SUM(E12:E14)</f>
        <v>11592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v>11592</v>
      </c>
      <c r="D12" s="108"/>
      <c r="E12" s="120">
        <f aca="true" t="shared" si="0" ref="E12:E42">C12-D12</f>
        <v>11592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11592</v>
      </c>
      <c r="D19" s="104">
        <f>D11+D15+D16</f>
        <v>0</v>
      </c>
      <c r="E19" s="118">
        <f>E11+E15+E16</f>
        <v>11592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25450</v>
      </c>
      <c r="D28" s="108">
        <v>25450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970</v>
      </c>
      <c r="D29" s="108">
        <v>970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v>633</v>
      </c>
      <c r="D31" s="108"/>
      <c r="E31" s="120">
        <f t="shared" si="0"/>
        <v>633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3544</v>
      </c>
      <c r="D33" s="105">
        <f>SUM(D34:D37)</f>
        <v>3544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3325</v>
      </c>
      <c r="D35" s="108">
        <v>3325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219</v>
      </c>
      <c r="D37" s="108">
        <v>219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2080</v>
      </c>
      <c r="D38" s="105">
        <f>SUM(D39:D42)</f>
        <v>2080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>
        <v>3</v>
      </c>
      <c r="D40" s="108">
        <v>3</v>
      </c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2077</v>
      </c>
      <c r="D42" s="108">
        <v>2077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32677</v>
      </c>
      <c r="D43" s="104">
        <f>D24+D28+D29+D31+D30+D32+D33+D38</f>
        <v>32044</v>
      </c>
      <c r="E43" s="118">
        <f>E24+E28+E29+E31+E30+E32+E33+E38</f>
        <v>633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44269</v>
      </c>
      <c r="D44" s="103">
        <f>D43+D21+D19+D9</f>
        <v>32044</v>
      </c>
      <c r="E44" s="118">
        <f>E43+E21+E19+E9</f>
        <v>12225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16167</v>
      </c>
      <c r="D56" s="103">
        <f>D57+D59</f>
        <v>0</v>
      </c>
      <c r="E56" s="119">
        <f t="shared" si="1"/>
        <v>16167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16167</v>
      </c>
      <c r="D57" s="108"/>
      <c r="E57" s="119">
        <f t="shared" si="1"/>
        <v>16167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>
        <v>706</v>
      </c>
      <c r="D62" s="108"/>
      <c r="E62" s="119">
        <f t="shared" si="1"/>
        <v>706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16873</v>
      </c>
      <c r="D66" s="103">
        <f>D52+D56+D61+D62+D63+D64</f>
        <v>0</v>
      </c>
      <c r="E66" s="119">
        <f t="shared" si="1"/>
        <v>16873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1816</v>
      </c>
      <c r="D68" s="108"/>
      <c r="E68" s="119">
        <f t="shared" si="1"/>
        <v>1816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23936</v>
      </c>
      <c r="D85" s="104">
        <f>SUM(D86:D90)+D94</f>
        <v>23936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21603</v>
      </c>
      <c r="D87" s="108">
        <v>21603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>
        <v>225</v>
      </c>
      <c r="D88" s="108">
        <v>225</v>
      </c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554</v>
      </c>
      <c r="D89" s="108">
        <v>554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1083</v>
      </c>
      <c r="D90" s="103">
        <f>SUM(D91:D93)</f>
        <v>1083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780</v>
      </c>
      <c r="D91" s="108">
        <v>780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303</v>
      </c>
      <c r="D93" s="108">
        <v>303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471</v>
      </c>
      <c r="D94" s="108">
        <v>471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69</v>
      </c>
      <c r="D95" s="108">
        <v>69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24005</v>
      </c>
      <c r="D96" s="104">
        <f>D85+D80+D75+D71+D95</f>
        <v>24005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42694</v>
      </c>
      <c r="D97" s="104">
        <f>D96+D68+D66</f>
        <v>24005</v>
      </c>
      <c r="E97" s="104">
        <f>E96+E68+E66</f>
        <v>18689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782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03.2008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786</v>
      </c>
    </row>
    <row r="7" spans="1:9" s="518" customFormat="1" ht="12">
      <c r="A7" s="140" t="s">
        <v>464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796</v>
      </c>
      <c r="B19" s="90" t="s">
        <v>806</v>
      </c>
      <c r="C19" s="98">
        <v>4860296</v>
      </c>
      <c r="D19" s="98"/>
      <c r="E19" s="98"/>
      <c r="F19" s="98">
        <v>4860</v>
      </c>
      <c r="G19" s="98"/>
      <c r="H19" s="98"/>
      <c r="I19" s="434">
        <f t="shared" si="0"/>
        <v>4860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819</v>
      </c>
      <c r="C26" s="85">
        <f aca="true" t="shared" si="2" ref="C26:H26">SUM(C19:C25)</f>
        <v>4860296</v>
      </c>
      <c r="D26" s="85">
        <f t="shared" si="2"/>
        <v>0</v>
      </c>
      <c r="E26" s="85">
        <f t="shared" si="2"/>
        <v>0</v>
      </c>
      <c r="F26" s="85">
        <f t="shared" si="2"/>
        <v>4860</v>
      </c>
      <c r="G26" s="85">
        <f t="shared" si="2"/>
        <v>0</v>
      </c>
      <c r="H26" s="85">
        <f t="shared" si="2"/>
        <v>0</v>
      </c>
      <c r="I26" s="434">
        <f t="shared" si="0"/>
        <v>4860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871</v>
      </c>
      <c r="B30" s="624"/>
      <c r="C30" s="624"/>
      <c r="D30" s="459" t="s">
        <v>821</v>
      </c>
      <c r="E30" s="623"/>
      <c r="F30" s="623"/>
      <c r="G30" s="623"/>
      <c r="H30" s="420" t="s">
        <v>783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5">
      <selection activeCell="A154" sqref="A154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824</v>
      </c>
      <c r="B6" s="629" t="str">
        <f>'справка №1-БАЛАНС'!E5</f>
        <v>03.2008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372</v>
      </c>
      <c r="D12" s="575">
        <v>93</v>
      </c>
      <c r="E12" s="441"/>
      <c r="F12" s="443">
        <f>C12-E12</f>
        <v>372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372</v>
      </c>
      <c r="D27" s="429"/>
      <c r="E27" s="429">
        <f>SUM(E12:E26)</f>
        <v>0</v>
      </c>
      <c r="F27" s="442">
        <f>SUM(F12:F26)</f>
        <v>372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372</v>
      </c>
      <c r="D79" s="429"/>
      <c r="E79" s="429">
        <f>E78+E61+E44+E27</f>
        <v>0</v>
      </c>
      <c r="F79" s="442">
        <f>F78+F61+F44+F27</f>
        <v>372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867</v>
      </c>
      <c r="B82" s="40"/>
      <c r="C82" s="441">
        <v>4469</v>
      </c>
      <c r="D82" s="441">
        <v>100</v>
      </c>
      <c r="E82" s="441"/>
      <c r="F82" s="443">
        <f>C82-E82</f>
        <v>4469</v>
      </c>
    </row>
    <row r="83" spans="1:6" ht="12.75">
      <c r="A83" s="36" t="s">
        <v>868</v>
      </c>
      <c r="B83" s="40"/>
      <c r="C83" s="441">
        <v>19</v>
      </c>
      <c r="D83" s="441">
        <v>100</v>
      </c>
      <c r="E83" s="441"/>
      <c r="F83" s="443">
        <f aca="true" t="shared" si="4" ref="F83:F96">C83-E83</f>
        <v>19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4488</v>
      </c>
      <c r="D97" s="429"/>
      <c r="E97" s="429">
        <f>SUM(E82:E96)</f>
        <v>0</v>
      </c>
      <c r="F97" s="442">
        <f>SUM(F82:F96)</f>
        <v>4488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4488</v>
      </c>
      <c r="D149" s="429"/>
      <c r="E149" s="429">
        <f>E148+E131+E114+E97</f>
        <v>0</v>
      </c>
      <c r="F149" s="442">
        <f>F148+F131+F114+F97</f>
        <v>4488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858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2008-04-24T13:34:25Z</cp:lastPrinted>
  <dcterms:created xsi:type="dcterms:W3CDTF">2000-06-29T12:02:40Z</dcterms:created>
  <dcterms:modified xsi:type="dcterms:W3CDTF">2008-04-30T10:45:13Z</dcterms:modified>
  <cp:category/>
  <cp:version/>
  <cp:contentType/>
  <cp:contentStatus/>
</cp:coreProperties>
</file>