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<sst xmlns="http://schemas.openxmlformats.org/spreadsheetml/2006/main" count="1858" uniqueCount="665">
  <si>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</si>
  <si>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</si>
  <si>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</si>
  <si>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</si>
  <si>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</si>
  <si>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</si>
  <si>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</si>
  <si>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</si>
  <si>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</si>
  <si>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</si>
  <si>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</si>
  <si>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</si>
  <si>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</si>
  <si>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</si>
  <si>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</si>
  <si>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</si>
  <si>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</si>
  <si>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</si>
  <si>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</si>
  <si>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</si>
  <si>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</si>
  <si>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</si>
  <si>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</si>
  <si>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</si>
  <si>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</si>
  <si>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</si>
  <si>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</si>
  <si>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</si>
  <si>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</si>
  <si>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</si>
  <si>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</si>
  <si>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</si>
  <si>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</si>
  <si>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</si>
  <si>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</si>
  <si>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</si>
  <si>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</si>
  <si>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</si>
  <si>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</si>
  <si>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</si>
  <si>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</si>
  <si>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</si>
  <si>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</si>
  <si>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</si>
  <si>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</si>
  <si>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</si>
  <si>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</si>
  <si>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</si>
  <si>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</si>
  <si>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</si>
  <si>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</si>
  <si>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</si>
  <si>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</si>
  <si>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</si>
  <si>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</si>
  <si>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</si>
  <si>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</si>
  <si>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</si>
  <si>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</si>
  <si>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</si>
  <si>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</si>
  <si>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</si>
  <si>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</si>
  <si>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</si>
  <si>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</si>
  <si>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</si>
  <si>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</si>
  <si>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</si>
  <si>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</si>
  <si>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</si>
  <si>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</si>
  <si>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</si>
  <si>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</si>
  <si>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</si>
  <si>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</si>
  <si>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</si>
  <si>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</si>
  <si>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</si>
  <si>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</si>
  <si>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</si>
  <si>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</si>
  <si>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</si>
  <si>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</si>
  <si>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</si>
  <si>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</si>
  <si>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</si>
  <si>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</si>
  <si>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</si>
  <si>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</si>
  <si>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</si>
  <si>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</si>
  <si>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</si>
  <si>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</si>
  <si>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</si>
  <si>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</si>
  <si>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</si>
  <si>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</si>
  <si>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</si>
  <si>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</si>
  <si>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</si>
  <si>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</si>
  <si>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</si>
  <si>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</si>
  <si>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</si>
  <si>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</si>
  <si>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</si>
  <si>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</si>
  <si>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</si>
  <si>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</si>
  <si>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</si>
  <si>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</si>
  <si>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</si>
  <si>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</si>
  <si>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</si>
  <si>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</si>
  <si>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</si>
  <si>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</si>
  <si>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</si>
  <si>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</si>
  <si>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</si>
  <si>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</si>
  <si>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</si>
  <si>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</si>
  <si>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</si>
  <si>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</si>
  <si>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</si>
  <si>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</si>
  <si>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</si>
  <si>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</si>
  <si>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</si>
  <si>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</si>
  <si>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</si>
  <si>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</si>
  <si>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</si>
  <si>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</si>
  <si>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</si>
  <si>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</si>
  <si>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</si>
  <si>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</si>
  <si>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</si>
  <si>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</si>
  <si>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</si>
  <si>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</si>
  <si>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</si>
  <si>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</si>
  <si>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</si>
  <si>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</si>
  <si>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</si>
  <si>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</si>
  <si>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</si>
  <si>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</si>
  <si>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</si>
  <si>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</si>
  <si>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</si>
  <si>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</si>
  <si>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</si>
  <si>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</si>
  <si>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</si>
  <si>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</si>
  <si>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</si>
  <si>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</si>
  <si>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</si>
  <si>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</si>
  <si>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</si>
  <si>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</si>
  <si>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</si>
  <si>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</si>
  <si>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</si>
  <si>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</si>
  <si>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</si>
  <si>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</si>
  <si>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</si>
  <si>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</si>
  <si>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</si>
  <si>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</si>
  <si>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</si>
  <si>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</si>
  <si>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</si>
  <si>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</si>
  <si>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</si>
  <si>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</si>
  <si>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</si>
  <si>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</si>
  <si>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</si>
  <si>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</si>
  <si>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</si>
  <si>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</si>
  <si>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</si>
  <si>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</si>
  <si>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</si>
  <si>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</si>
  <si>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</si>
  <si>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</si>
  <si>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</si>
  <si>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</si>
  <si>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</si>
  <si>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</si>
  <si>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</si>
  <si>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</si>
  <si>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</si>
  <si>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</si>
  <si>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</si>
  <si>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</si>
  <si>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</si>
  <si>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</si>
  <si>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</si>
  <si>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</si>
  <si>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</si>
  <si>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</si>
  <si>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</si>
  <si>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</si>
  <si>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</si>
  <si>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</si>
  <si>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</si>
  <si>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</si>
  <si>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</si>
  <si>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</si>
  <si>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</si>
  <si>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</si>
  <si>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</si>
  <si>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</si>
  <si>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</si>
  <si>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</si>
  <si>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</si>
  <si>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</si>
  <si>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</si>
  <si>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</si>
  <si>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</si>
  <si>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</si>
  <si>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</si>
  <si>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</si>
  <si>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</si>
  <si>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</si>
  <si>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</si>
  <si>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</si>
  <si>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</si>
  <si>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</si>
  <si>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</si>
  <si>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</si>
  <si>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</si>
  <si>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</si>
  <si>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</si>
  <si>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</si>
  <si>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</si>
  <si>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</si>
  <si>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</si>
  <si>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</si>
  <si>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</si>
  <si>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</si>
  <si>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</si>
  <si>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</si>
  <si>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</si>
  <si>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</si>
  <si>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</si>
  <si>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</si>
  <si>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</si>
  <si>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</si>
  <si>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</si>
  <si>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</si>
  <si>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</si>
  <si>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</si>
  <si>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</si>
  <si>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</si>
  <si>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</si>
  <si>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</si>
  <si>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</si>
  <si>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</si>
  <si>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</si>
  <si>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</si>
  <si>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</si>
  <si>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</si>
  <si>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</si>
  <si>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</si>
  <si>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</si>
  <si>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</si>
  <si>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</si>
  <si>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</si>
  <si>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</si>
  <si>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</si>
  <si>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</si>
  <si>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</si>
  <si>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</si>
  <si>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</si>
  <si>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</si>
  <si>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</si>
  <si>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</si>
  <si>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</si>
  <si>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</si>
  <si>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</si>
  <si>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</si>
  <si>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</si>
  <si>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</si>
  <si>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</si>
  <si>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</si>
  <si>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</si>
  <si>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</si>
  <si>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</si>
  <si>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</si>
  <si>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</si>
  <si>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</si>
  <si>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</si>
  <si>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</si>
  <si>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</si>
  <si>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</si>
  <si>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</si>
  <si>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</si>
  <si>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</si>
  <si>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</si>
  <si>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</si>
  <si>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</si>
  <si>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</si>
  <si>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</si>
  <si>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</si>
  <si>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</si>
  <si>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</si>
  <si>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</si>
  <si>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</si>
  <si>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</si>
  <si>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</si>
  <si>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</si>
  <si>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</si>
  <si>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</si>
  <si>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</si>
  <si>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</si>
  <si>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</si>
  <si>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</si>
  <si>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</si>
  <si>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</si>
  <si>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</si>
  <si>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</si>
  <si>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</si>
  <si>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</si>
  <si>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</si>
  <si>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</si>
  <si>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</si>
  <si>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</si>
  <si>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</si>
  <si>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</si>
  <si>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</si>
  <si>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</si>
  <si>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</si>
  <si>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</si>
  <si>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</si>
  <si>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</si>
  <si>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</si>
  <si>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</si>
  <si>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</si>
  <si>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</si>
  <si>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</si>
  <si>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</si>
  <si>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</si>
  <si>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</si>
  <si>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</si>
  <si>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</si>
  <si>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</si>
  <si>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</si>
  <si>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</si>
  <si>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</si>
  <si>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</si>
  <si>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</si>
  <si>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</si>
  <si>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</si>
  <si>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</si>
  <si>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</si>
  <si>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</si>
  <si>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</si>
  <si>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</si>
  <si>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</si>
  <si>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</si>
  <si>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</si>
  <si>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</si>
  <si>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</si>
  <si>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</si>
  <si>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</si>
  <si>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</si>
  <si>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</si>
  <si>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</si>
  <si>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</si>
  <si>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</si>
  <si>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</si>
  <si>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</si>
  <si>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</si>
  <si>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</si>
  <si>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</si>
  <si>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</si>
  <si>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</si>
  <si>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</si>
  <si>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</si>
  <si>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</si>
  <si>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</si>
  <si>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</si>
  <si>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</si>
  <si>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</si>
  <si>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</si>
  <si>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</si>
  <si>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</si>
  <si>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</si>
  <si>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</si>
  <si>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</si>
  <si>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</si>
  <si>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</si>
  <si>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</si>
  <si>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</si>
  <si>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</si>
  <si>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</si>
  <si>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</si>
  <si>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</si>
  <si>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</si>
  <si>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</si>
  <si>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</si>
  <si>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</si>
  <si>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</si>
  <si>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</si>
  <si>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</si>
  <si>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</si>
  <si>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</si>
  <si>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</si>
  <si>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</si>
  <si>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</si>
  <si>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</si>
  <si>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</si>
  <si>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</si>
  <si>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</si>
  <si>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</si>
  <si>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</si>
  <si>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</si>
  <si>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</si>
  <si>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</si>
  <si>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</si>
  <si>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</si>
  <si>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</si>
  <si>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</si>
  <si>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</si>
  <si>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</si>
  <si>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</si>
  <si>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</si>
  <si>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</si>
  <si>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</si>
  <si>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</si>
  <si>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</si>
  <si>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</si>
  <si>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</si>
  <si>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</si>
  <si>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</si>
  <si>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</si>
  <si>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</si>
  <si>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</si>
  <si>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</si>
  <si>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</si>
  <si>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</si>
  <si>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</si>
  <si>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</si>
  <si>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</si>
  <si>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</si>
  <si>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</si>
  <si>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</si>
  <si>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</si>
  <si>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</si>
  <si>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</si>
  <si>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</si>
  <si>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</si>
  <si>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</si>
  <si>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</si>
  <si>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</si>
  <si>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</si>
  <si>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</si>
  <si>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</si>
  <si>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</si>
  <si>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</si>
  <si>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</si>
  <si>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</si>
  <si>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</si>
  <si>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</si>
  <si>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</si>
  <si>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</si>
  <si>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</si>
  <si>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</si>
  <si>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</si>
  <si>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</si>
  <si>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</si>
  <si>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</si>
  <si>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</si>
  <si>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</si>
  <si>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</si>
  <si>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</si>
  <si>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</si>
  <si>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</si>
  <si>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</si>
  <si>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</si>
  <si>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</si>
  <si>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</si>
  <si>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</si>
  <si>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</si>
  <si>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</si>
  <si>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</si>
  <si>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</si>
  <si>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</si>
  <si>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</si>
  <si>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</si>
  <si>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</si>
  <si>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</si>
  <si>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</si>
  <si>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</si>
  <si>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</si>
  <si>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</si>
  <si>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</si>
  <si>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</si>
  <si>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</si>
  <si>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</si>
  <si>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</si>
  <si>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</si>
  <si>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</si>
  <si>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</si>
  <si>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</si>
  <si>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</si>
  <si>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</si>
  <si>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</si>
  <si>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</si>
  <si>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</si>
  <si>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</si>
  <si>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</si>
  <si>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</si>
  <si>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</si>
  <si>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</si>
  <si>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</si>
  <si>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</si>
  <si>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</si>
  <si>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</si>
  <si>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</si>
  <si>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</si>
  <si>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</si>
  <si>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</si>
  <si>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</si>
  <si>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</si>
  <si>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</si>
  <si>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</si>
  <si>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</si>
  <si>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</si>
  <si>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</si>
  <si>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</si>
  <si>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</si>
  <si>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</si>
  <si>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</si>
  <si>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</si>
  <si>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</si>
  <si>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</si>
  <si>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</si>
  <si>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</si>
  <si>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</si>
  <si>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</si>
  <si>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</si>
  <si>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</si>
  <si>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</si>
  <si>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</si>
  <si>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</si>
  <si>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</si>
  <si>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</si>
  <si>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</si>
  <si>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</si>
  <si>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</si>
  <si>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</si>
  <si>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</si>
  <si>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</si>
  <si>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</si>
  <si>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</si>
  <si>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</si>
  <si>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</si>
  <si>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</si>
  <si>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</si>
  <si>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</si>
  <si>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</si>
  <si>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</si>
  <si>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</si>
  <si>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</si>
  <si>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</si>
  <si>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</si>
  <si>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</si>
  <si>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</si>
  <si>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</si>
  <si>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</si>
  <si>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</si>
  <si>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</si>
  <si>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</si>
  <si>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</si>
  <si>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</si>
  <si>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</si>
  <si>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</si>
  <si>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</si>
  <si>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</si>
  <si>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</si>
  <si>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</si>
  <si>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</si>
  <si>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</si>
  <si>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</si>
  <si>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</si>
  <si>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</si>
  <si>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</si>
  <si>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</si>
  <si>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</si>
  <si>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</si>
  <si>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</si>
  <si>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</si>
  <si>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</si>
  <si>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</si>
  <si>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</si>
  <si>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</si>
  <si>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</si>
  <si>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</si>
  <si>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</si>
  <si>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</si>
  <si>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</si>
  <si>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</si>
  <si>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</si>
  <si>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</si>
  <si>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</si>
  <si>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</si>
  <si>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</si>
  <si>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</si>
  <si>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</si>
  <si>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</si>
  <si>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</si>
  <si>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</si>
  <si>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</si>
  <si>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</si>
  <si>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</si>
  <si>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</si>
  <si>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</si>
  <si>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</si>
  <si>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</si>
  <si>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</si>
  <si>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</si>
  <si>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</si>
  <si>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</si>
  <si>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</si>
  <si>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</si>
  <si>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</si>
  <si>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</si>
  <si>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</si>
  <si>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</si>
  <si>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</si>
  <si>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</si>
  <si>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</si>
  <si>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</si>
  <si>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</si>
  <si>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</si>
  <si>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</si>
  <si>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</si>
  <si>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</si>
  <si>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</si>
  <si>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</si>
  <si>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</si>
  <si>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</si>
  <si>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</si>
  <si>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</si>
  <si>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</si>
  <si>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</si>
  <si>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</si>
  <si>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</si>
  <si>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</si>
  <si>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</si>
  <si>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</si>
  <si>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</si>
  <si>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www.investor.bg</t>
  </si>
  <si>
    <t>Ръководител,счетоводен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</si>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</sst>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43465</v>
      </c>
    </row>
    <row r="2" spans="1:27" ht="15.75">
      <c r="A2" s="420" t="s">
        <v>651</v>
      </c>
      <c r="B2" s="415"/>
      <c r="Z2" s="432">
        <v>2</v>
      </c>
      <c r="AA2" s="433">
        <f>IF(ISBLANK(_pdeReportingDate),"",_pdeReportingDate)</f>
        <v>43158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Николай Димитров Колев</v>
      </c>
    </row>
    <row r="4" spans="1:2" ht="15.75">
      <c r="A4" s="414" t="s">
        <v>652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43101</v>
      </c>
    </row>
    <row r="10" spans="1:2" ht="15.75">
      <c r="A10" s="7" t="s">
        <v>2</v>
      </c>
      <c r="B10" s="314">
        <v>43465</v>
      </c>
    </row>
    <row r="11" spans="1:2" ht="15.75">
      <c r="A11" s="7" t="s">
        <v>640</v>
      </c>
      <c r="B11" s="314">
        <v>43158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664</v>
      </c>
    </row>
    <row r="20" spans="1:2" ht="15.75">
      <c r="A20" s="7" t="s">
        <v>5</v>
      </c>
      <c r="B20" s="313" t="s">
        <v>664</v>
      </c>
    </row>
    <row r="21" spans="1:2" ht="15.75">
      <c r="A21" s="10" t="s">
        <v>6</v>
      </c>
      <c r="B21" s="315" t="s">
        <v>657</v>
      </c>
    </row>
    <row r="22" spans="1:2" ht="15.75">
      <c r="A22" s="10" t="s">
        <v>583</v>
      </c>
      <c r="B22" s="315" t="s">
        <v>658</v>
      </c>
    </row>
    <row r="23" spans="1:2" ht="15.75">
      <c r="A23" s="10" t="s">
        <v>7</v>
      </c>
      <c r="B23" s="422" t="s">
        <v>659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5" t="s">
        <v>661</v>
      </c>
    </row>
    <row r="27" spans="1:2" ht="15.75">
      <c r="A27" s="10" t="s">
        <v>634</v>
      </c>
      <c r="B27" s="315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f>510</f>
        <v>510</v>
      </c>
      <c r="D12" s="119">
        <v>510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>
        <f>717</f>
        <v>717</v>
      </c>
      <c r="D13" s="119">
        <v>727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>
        <f>1</f>
        <v>1</v>
      </c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>
        <v>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f>11</f>
        <v>11</v>
      </c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3400</v>
      </c>
      <c r="H18" s="346">
        <f>H12+H15+H16+H17</f>
        <v>3400</v>
      </c>
    </row>
    <row r="19" spans="1:8" ht="15.75">
      <c r="A19" s="66" t="s">
        <v>49</v>
      </c>
      <c r="B19" s="68" t="s">
        <v>50</v>
      </c>
      <c r="C19" s="119">
        <f>319</f>
        <v>319</v>
      </c>
      <c r="D19" s="119">
        <v>347</v>
      </c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1558</v>
      </c>
      <c r="D20" s="334">
        <f>SUM(D12:D19)</f>
        <v>1588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210</v>
      </c>
      <c r="H21" s="118">
        <v>210</v>
      </c>
    </row>
    <row r="22" spans="1:13" ht="15.75">
      <c r="A22" s="76" t="s">
        <v>60</v>
      </c>
      <c r="B22" s="73" t="s">
        <v>61</v>
      </c>
      <c r="C22" s="242">
        <f>173</f>
        <v>173</v>
      </c>
      <c r="D22" s="243">
        <v>173</v>
      </c>
      <c r="E22" s="123" t="s">
        <v>62</v>
      </c>
      <c r="F22" s="69" t="s">
        <v>63</v>
      </c>
      <c r="G22" s="349">
        <f>SUM(G23:G25)</f>
        <v>498</v>
      </c>
      <c r="H22" s="350">
        <f>SUM(H23:H25)</f>
        <v>409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2</f>
        <v>2</v>
      </c>
      <c r="D24" s="118">
        <v>3</v>
      </c>
      <c r="E24" s="124" t="s">
        <v>69</v>
      </c>
      <c r="F24" s="69" t="s">
        <v>70</v>
      </c>
      <c r="G24" s="119">
        <f>498</f>
        <v>498</v>
      </c>
      <c r="H24" s="118">
        <v>409</v>
      </c>
      <c r="M24" s="74"/>
    </row>
    <row r="25" spans="1:8" ht="15.75">
      <c r="A25" s="66" t="s">
        <v>71</v>
      </c>
      <c r="B25" s="68" t="s">
        <v>72</v>
      </c>
      <c r="C25" s="119">
        <f>1</f>
        <v>1</v>
      </c>
      <c r="D25" s="118">
        <v>2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0" t="s">
        <v>77</v>
      </c>
      <c r="F26" s="71" t="s">
        <v>78</v>
      </c>
      <c r="G26" s="333">
        <f>G20+G21+G22</f>
        <v>708</v>
      </c>
      <c r="H26" s="334">
        <f>H20+H21+H22</f>
        <v>619</v>
      </c>
      <c r="M26" s="74"/>
    </row>
    <row r="27" spans="1:8" ht="15.75">
      <c r="A27" s="66" t="s">
        <v>79</v>
      </c>
      <c r="B27" s="68" t="s">
        <v>80</v>
      </c>
      <c r="C27" s="119">
        <f>4</f>
        <v>4</v>
      </c>
      <c r="D27" s="118">
        <v>6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7</v>
      </c>
      <c r="D28" s="334">
        <f>SUM(D24:D27)</f>
        <v>11</v>
      </c>
      <c r="E28" s="124" t="s">
        <v>84</v>
      </c>
      <c r="F28" s="69" t="s">
        <v>85</v>
      </c>
      <c r="G28" s="331">
        <f>SUM(G29:G31)</f>
        <v>-4612</v>
      </c>
      <c r="H28" s="332">
        <f>SUM(H29:H31)</f>
        <v>-4132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f>877</f>
        <v>877</v>
      </c>
      <c r="H29" s="119">
        <f>793</f>
        <v>793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-5489</v>
      </c>
      <c r="H30" s="119">
        <v>-4925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8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31</f>
        <v>31</v>
      </c>
      <c r="H32" s="119"/>
      <c r="M32" s="74"/>
    </row>
    <row r="33" spans="1:8" ht="15.75">
      <c r="A33" s="248" t="s">
        <v>99</v>
      </c>
      <c r="B33" s="73" t="s">
        <v>100</v>
      </c>
      <c r="C33" s="333">
        <f>C31+C32</f>
        <v>6</v>
      </c>
      <c r="D33" s="334">
        <f>D31+D32</f>
        <v>6</v>
      </c>
      <c r="E33" s="122" t="s">
        <v>101</v>
      </c>
      <c r="F33" s="69" t="s">
        <v>102</v>
      </c>
      <c r="G33" s="119"/>
      <c r="H33" s="119">
        <v>-390</v>
      </c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-4581</v>
      </c>
      <c r="H34" s="334">
        <f>H28+H32+H33</f>
        <v>-4522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-473</v>
      </c>
      <c r="H37" s="336">
        <f>H26+H18+H34</f>
        <v>-503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39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11</v>
      </c>
      <c r="H50" s="332">
        <f>SUM(H44:H49)</f>
        <v>11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f>62</f>
        <v>62</v>
      </c>
      <c r="H54" s="119">
        <f>55</f>
        <v>55</v>
      </c>
    </row>
    <row r="55" spans="1:8" ht="15.75">
      <c r="A55" s="76" t="s">
        <v>166</v>
      </c>
      <c r="B55" s="72" t="s">
        <v>167</v>
      </c>
      <c r="C55" s="244">
        <f>232</f>
        <v>232</v>
      </c>
      <c r="D55" s="245">
        <v>251</v>
      </c>
      <c r="E55" s="66" t="s">
        <v>168</v>
      </c>
      <c r="F55" s="71" t="s">
        <v>169</v>
      </c>
      <c r="G55" s="119">
        <f>237</f>
        <v>237</v>
      </c>
      <c r="H55" s="119">
        <f>244</f>
        <v>244</v>
      </c>
    </row>
    <row r="56" spans="1:13" ht="16.5" thickBot="1">
      <c r="A56" s="241" t="s">
        <v>170</v>
      </c>
      <c r="B56" s="130" t="s">
        <v>171</v>
      </c>
      <c r="C56" s="337">
        <f>C20+C21+C22+C28+C33+C46+C52+C54+C55</f>
        <v>1976</v>
      </c>
      <c r="D56" s="338">
        <f>D20+D21+D22+D28+D33+D46+D52+D54+D55</f>
        <v>2029</v>
      </c>
      <c r="E56" s="76" t="s">
        <v>529</v>
      </c>
      <c r="F56" s="75" t="s">
        <v>172</v>
      </c>
      <c r="G56" s="335">
        <f>G50+G52+G53+G54+G55</f>
        <v>310</v>
      </c>
      <c r="H56" s="336">
        <f>H50+H52+H53+H54+H55</f>
        <v>310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f>144</f>
        <v>144</v>
      </c>
      <c r="D59" s="119">
        <f>180</f>
        <v>180</v>
      </c>
      <c r="E59" s="123" t="s">
        <v>180</v>
      </c>
      <c r="F59" s="252" t="s">
        <v>181</v>
      </c>
      <c r="G59" s="119">
        <f>954+441</f>
        <v>1395</v>
      </c>
      <c r="H59" s="119">
        <v>1286</v>
      </c>
    </row>
    <row r="60" spans="1:13" ht="15.75">
      <c r="A60" s="66" t="s">
        <v>178</v>
      </c>
      <c r="B60" s="68" t="s">
        <v>179</v>
      </c>
      <c r="C60" s="119">
        <f>90</f>
        <v>90</v>
      </c>
      <c r="D60" s="119">
        <f>110</f>
        <v>110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f>18</f>
        <v>18</v>
      </c>
      <c r="D61" s="119">
        <f>76</f>
        <v>76</v>
      </c>
      <c r="E61" s="122" t="s">
        <v>188</v>
      </c>
      <c r="F61" s="69" t="s">
        <v>189</v>
      </c>
      <c r="G61" s="331">
        <f>SUM(G62:G68)</f>
        <v>2237</v>
      </c>
      <c r="H61" s="332">
        <f>SUM(H62:H68)</f>
        <v>2435</v>
      </c>
    </row>
    <row r="62" spans="1:13" ht="15.75">
      <c r="A62" s="66" t="s">
        <v>186</v>
      </c>
      <c r="B62" s="70" t="s">
        <v>187</v>
      </c>
      <c r="C62" s="119">
        <f>396</f>
        <v>396</v>
      </c>
      <c r="D62" s="119">
        <f>476</f>
        <v>476</v>
      </c>
      <c r="E62" s="122" t="s">
        <v>192</v>
      </c>
      <c r="F62" s="69" t="s">
        <v>193</v>
      </c>
      <c r="G62" s="119">
        <f>307+114+7-307-75</f>
        <v>46</v>
      </c>
      <c r="H62" s="119">
        <f>221</f>
        <v>221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200+1+12+10+3+100+17+15+33+82</f>
        <v>473</v>
      </c>
      <c r="H63" s="119">
        <f>833</f>
        <v>833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1121-1-17+8+23+28</f>
        <v>1162</v>
      </c>
      <c r="H64" s="119">
        <f>826</f>
        <v>826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648</v>
      </c>
      <c r="D65" s="334">
        <f>SUM(D59:D64)</f>
        <v>842</v>
      </c>
      <c r="E65" s="66" t="s">
        <v>201</v>
      </c>
      <c r="F65" s="69" t="s">
        <v>202</v>
      </c>
      <c r="G65" s="119">
        <f>174-7</f>
        <v>167</v>
      </c>
      <c r="H65" s="119">
        <f>145</f>
        <v>145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f>26</f>
        <v>26</v>
      </c>
      <c r="H66" s="119">
        <f>33</f>
        <v>33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32+14+13+7+7+4+4+1+2+1</f>
        <v>85</v>
      </c>
      <c r="H67" s="119">
        <f>126</f>
        <v>126</v>
      </c>
    </row>
    <row r="68" spans="1:8" ht="15.75">
      <c r="A68" s="66" t="s">
        <v>206</v>
      </c>
      <c r="B68" s="68" t="s">
        <v>207</v>
      </c>
      <c r="C68" s="119">
        <f>506-343+8+289+307+75+57-307-75</f>
        <v>517</v>
      </c>
      <c r="D68" s="119">
        <f>486</f>
        <v>486</v>
      </c>
      <c r="E68" s="66" t="s">
        <v>212</v>
      </c>
      <c r="F68" s="69" t="s">
        <v>213</v>
      </c>
      <c r="G68" s="119">
        <f>60+22+62+26+22+9+7+50+17+2+1</f>
        <v>278</v>
      </c>
      <c r="H68" s="119">
        <f>251</f>
        <v>251</v>
      </c>
    </row>
    <row r="69" spans="1:8" ht="15.75">
      <c r="A69" s="66" t="s">
        <v>210</v>
      </c>
      <c r="B69" s="68" t="s">
        <v>211</v>
      </c>
      <c r="C69" s="119">
        <f>109-10+2+3+12+55</f>
        <v>171</v>
      </c>
      <c r="D69" s="119">
        <f>141</f>
        <v>141</v>
      </c>
      <c r="E69" s="123" t="s">
        <v>79</v>
      </c>
      <c r="F69" s="69" t="s">
        <v>216</v>
      </c>
      <c r="G69" s="119">
        <f>9</f>
        <v>9</v>
      </c>
      <c r="H69" s="119">
        <v>8</v>
      </c>
    </row>
    <row r="70" spans="1:8" ht="15.75">
      <c r="A70" s="66" t="s">
        <v>214</v>
      </c>
      <c r="B70" s="68" t="s">
        <v>215</v>
      </c>
      <c r="C70" s="119">
        <f>46+10</f>
        <v>56</v>
      </c>
      <c r="D70" s="119">
        <f>39</f>
        <v>39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3641</v>
      </c>
      <c r="H71" s="334">
        <f>H59+H60+H61+H69+H70</f>
        <v>3729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9"/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744</v>
      </c>
      <c r="D76" s="334">
        <f>SUM(D68:D75)</f>
        <v>666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>
        <f>8</f>
        <v>8</v>
      </c>
      <c r="H77" s="245">
        <v>8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3649</v>
      </c>
      <c r="H79" s="336">
        <f>H71+H73+H75+H77</f>
        <v>3737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f>82</f>
        <v>82</v>
      </c>
      <c r="D88" s="119">
        <v>1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f>34</f>
        <v>34</v>
      </c>
      <c r="D89" s="119">
        <v>4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116</v>
      </c>
      <c r="D92" s="334">
        <f>SUM(D88:D91)</f>
        <v>5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f>2</f>
        <v>2</v>
      </c>
      <c r="D93" s="245">
        <v>2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1510</v>
      </c>
      <c r="D94" s="338">
        <f>D65+D76+D85+D92+D93</f>
        <v>1515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3486</v>
      </c>
      <c r="D95" s="340">
        <f>D94+D56</f>
        <v>3544</v>
      </c>
      <c r="E95" s="150" t="s">
        <v>607</v>
      </c>
      <c r="F95" s="255" t="s">
        <v>268</v>
      </c>
      <c r="G95" s="339">
        <f>G37+G40+G56+G79</f>
        <v>3486</v>
      </c>
      <c r="H95" s="340">
        <f>H37+H40+H56+H79</f>
        <v>3544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640</v>
      </c>
      <c r="B98" s="435">
        <f>pdeReportingDate</f>
        <v>43158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Николай Димитров Колев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655</v>
      </c>
      <c r="C103" s="434"/>
      <c r="D103" s="434"/>
      <c r="E103" s="434"/>
      <c r="M103" s="74"/>
    </row>
    <row r="104" spans="1:5" ht="21.75" customHeight="1">
      <c r="A104" s="429"/>
      <c r="B104" s="434"/>
      <c r="C104" s="434"/>
      <c r="D104" s="434"/>
      <c r="E104" s="434"/>
    </row>
    <row r="105" spans="1:13" ht="21.75" customHeight="1">
      <c r="A105" s="429"/>
      <c r="B105" s="434"/>
      <c r="C105" s="434"/>
      <c r="D105" s="434"/>
      <c r="E105" s="434"/>
      <c r="M105" s="74"/>
    </row>
    <row r="106" spans="1:5" ht="21.75" customHeight="1">
      <c r="A106" s="429"/>
      <c r="B106" s="434"/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f>771</f>
        <v>771</v>
      </c>
      <c r="D12" s="235">
        <v>502</v>
      </c>
      <c r="E12" s="116" t="s">
        <v>277</v>
      </c>
      <c r="F12" s="161" t="s">
        <v>278</v>
      </c>
      <c r="G12" s="235">
        <f>2296</f>
        <v>2296</v>
      </c>
      <c r="H12" s="235">
        <v>1557</v>
      </c>
    </row>
    <row r="13" spans="1:8" ht="15.75">
      <c r="A13" s="116" t="s">
        <v>279</v>
      </c>
      <c r="B13" s="112" t="s">
        <v>280</v>
      </c>
      <c r="C13" s="235">
        <f>309</f>
        <v>309</v>
      </c>
      <c r="D13" s="235">
        <v>294</v>
      </c>
      <c r="E13" s="116" t="s">
        <v>281</v>
      </c>
      <c r="F13" s="161" t="s">
        <v>282</v>
      </c>
      <c r="G13" s="235">
        <f>17</f>
        <v>17</v>
      </c>
      <c r="H13" s="235">
        <v>16</v>
      </c>
    </row>
    <row r="14" spans="1:8" ht="15.75">
      <c r="A14" s="116" t="s">
        <v>283</v>
      </c>
      <c r="B14" s="112" t="s">
        <v>284</v>
      </c>
      <c r="C14" s="235">
        <f>35</f>
        <v>35</v>
      </c>
      <c r="D14" s="235">
        <v>39</v>
      </c>
      <c r="E14" s="166" t="s">
        <v>285</v>
      </c>
      <c r="F14" s="161" t="s">
        <v>286</v>
      </c>
      <c r="G14" s="235">
        <f>4</f>
        <v>4</v>
      </c>
      <c r="H14" s="235">
        <v>2</v>
      </c>
    </row>
    <row r="15" spans="1:8" ht="15.75">
      <c r="A15" s="116" t="s">
        <v>287</v>
      </c>
      <c r="B15" s="112" t="s">
        <v>288</v>
      </c>
      <c r="C15" s="235">
        <f>419</f>
        <v>419</v>
      </c>
      <c r="D15" s="235">
        <v>473</v>
      </c>
      <c r="E15" s="166" t="s">
        <v>79</v>
      </c>
      <c r="F15" s="161" t="s">
        <v>289</v>
      </c>
      <c r="G15" s="235">
        <f>146</f>
        <v>146</v>
      </c>
      <c r="H15" s="235">
        <v>25</v>
      </c>
    </row>
    <row r="16" spans="1:8" ht="15.75">
      <c r="A16" s="116" t="s">
        <v>290</v>
      </c>
      <c r="B16" s="112" t="s">
        <v>291</v>
      </c>
      <c r="C16" s="235">
        <f>60</f>
        <v>60</v>
      </c>
      <c r="D16" s="235">
        <v>64</v>
      </c>
      <c r="E16" s="157" t="s">
        <v>52</v>
      </c>
      <c r="F16" s="185" t="s">
        <v>292</v>
      </c>
      <c r="G16" s="364">
        <f>SUM(G12:G15)</f>
        <v>2463</v>
      </c>
      <c r="H16" s="365">
        <f>SUM(H12:H15)</f>
        <v>1600</v>
      </c>
    </row>
    <row r="17" spans="1:8" ht="31.5">
      <c r="A17" s="116" t="s">
        <v>293</v>
      </c>
      <c r="B17" s="112" t="s">
        <v>294</v>
      </c>
      <c r="C17" s="235">
        <f>16</f>
        <v>16</v>
      </c>
      <c r="D17" s="235">
        <v>33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329</f>
        <v>329</v>
      </c>
      <c r="D18" s="235">
        <v>216</v>
      </c>
      <c r="E18" s="155" t="s">
        <v>297</v>
      </c>
      <c r="F18" s="159" t="s">
        <v>298</v>
      </c>
      <c r="G18" s="375">
        <f>14</f>
        <v>14</v>
      </c>
      <c r="H18" s="375">
        <v>25</v>
      </c>
    </row>
    <row r="19" spans="1:8" ht="15.75">
      <c r="A19" s="116" t="s">
        <v>299</v>
      </c>
      <c r="B19" s="112" t="s">
        <v>300</v>
      </c>
      <c r="C19" s="235">
        <f>323</f>
        <v>323</v>
      </c>
      <c r="D19" s="235">
        <v>177</v>
      </c>
      <c r="E19" s="116" t="s">
        <v>301</v>
      </c>
      <c r="F19" s="158" t="s">
        <v>302</v>
      </c>
      <c r="G19" s="235">
        <f>14</f>
        <v>14</v>
      </c>
      <c r="H19" s="235">
        <v>25</v>
      </c>
    </row>
    <row r="20" spans="1:8" ht="15.75">
      <c r="A20" s="156" t="s">
        <v>303</v>
      </c>
      <c r="B20" s="112" t="s">
        <v>304</v>
      </c>
      <c r="C20" s="235">
        <f>133</f>
        <v>133</v>
      </c>
      <c r="D20" s="235">
        <v>132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2262</v>
      </c>
      <c r="D22" s="365">
        <f>SUM(D12:D18)+D19</f>
        <v>1798</v>
      </c>
      <c r="E22" s="116" t="s">
        <v>309</v>
      </c>
      <c r="F22" s="158" t="s">
        <v>310</v>
      </c>
      <c r="G22" s="235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>
        <f>156</f>
        <v>156</v>
      </c>
      <c r="D25" s="235">
        <v>177</v>
      </c>
      <c r="E25" s="116" t="s">
        <v>318</v>
      </c>
      <c r="F25" s="158" t="s">
        <v>319</v>
      </c>
      <c r="G25" s="235"/>
      <c r="H25" s="236"/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5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5">
        <f>2</f>
        <v>2</v>
      </c>
      <c r="D28" s="235">
        <v>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158</v>
      </c>
      <c r="D29" s="365">
        <f>SUM(D25:D28)</f>
        <v>183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2420</v>
      </c>
      <c r="D31" s="371">
        <f>D29+D22</f>
        <v>1981</v>
      </c>
      <c r="E31" s="172" t="s">
        <v>521</v>
      </c>
      <c r="F31" s="187" t="s">
        <v>331</v>
      </c>
      <c r="G31" s="174">
        <f>G16+G18+G27</f>
        <v>2477</v>
      </c>
      <c r="H31" s="175">
        <f>H16+H18+H27</f>
        <v>1625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57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356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2420</v>
      </c>
      <c r="D36" s="373">
        <f>D31-D34+D35</f>
        <v>1981</v>
      </c>
      <c r="E36" s="183" t="s">
        <v>346</v>
      </c>
      <c r="F36" s="177" t="s">
        <v>347</v>
      </c>
      <c r="G36" s="188">
        <f>G35-G34+G31</f>
        <v>2477</v>
      </c>
      <c r="H36" s="189">
        <f>H35-H34+H31</f>
        <v>1625</v>
      </c>
    </row>
    <row r="37" spans="1:8" ht="15.75">
      <c r="A37" s="182" t="s">
        <v>348</v>
      </c>
      <c r="B37" s="152" t="s">
        <v>349</v>
      </c>
      <c r="C37" s="370">
        <f>IF((G36-C36)&gt;0,G36-C36,0)</f>
        <v>57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356</v>
      </c>
    </row>
    <row r="38" spans="1:8" ht="15.75">
      <c r="A38" s="155" t="s">
        <v>352</v>
      </c>
      <c r="B38" s="159" t="s">
        <v>353</v>
      </c>
      <c r="C38" s="364">
        <f>C39+C40+C41</f>
        <v>26</v>
      </c>
      <c r="D38" s="365">
        <f>D39+D40+D41</f>
        <v>34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>
        <f>26</f>
        <v>26</v>
      </c>
      <c r="D40" s="235">
        <v>34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31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390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31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390</v>
      </c>
    </row>
    <row r="45" spans="1:8" ht="16.5" thickBot="1">
      <c r="A45" s="191" t="s">
        <v>371</v>
      </c>
      <c r="B45" s="192" t="s">
        <v>372</v>
      </c>
      <c r="C45" s="366">
        <f>C36+C38+C42</f>
        <v>2477</v>
      </c>
      <c r="D45" s="367">
        <f>D36+D38+D42</f>
        <v>2015</v>
      </c>
      <c r="E45" s="191" t="s">
        <v>373</v>
      </c>
      <c r="F45" s="193" t="s">
        <v>374</v>
      </c>
      <c r="G45" s="366">
        <f>G42+G36</f>
        <v>2477</v>
      </c>
      <c r="H45" s="367">
        <f>H42+H36</f>
        <v>2015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640</v>
      </c>
      <c r="B50" s="435">
        <f>pdeReportingDate</f>
        <v>43158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Николай Димитров Колев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655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/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/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/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31.12.2018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1424</f>
        <v>1424</v>
      </c>
      <c r="D11" s="119">
        <v>1656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-817</f>
        <v>-817</v>
      </c>
      <c r="D12" s="119">
        <v>-1092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-433</f>
        <v>-433</v>
      </c>
      <c r="D14" s="119">
        <v>-471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-59</f>
        <v>-59</v>
      </c>
      <c r="D15" s="119">
        <v>-100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f>-2</f>
        <v>-2</v>
      </c>
      <c r="D18" s="119">
        <v>-22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-2</f>
        <v>-2</v>
      </c>
      <c r="D20" s="119">
        <v>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111</v>
      </c>
      <c r="D21" s="394">
        <f>SUM(D11:D20)</f>
        <v>-20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9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6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0</v>
      </c>
      <c r="D43" s="396">
        <f>SUM(D35:D42)</f>
        <v>6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111</v>
      </c>
      <c r="D44" s="227">
        <f>D43+D33+D21</f>
        <v>-14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f>5</f>
        <v>5</v>
      </c>
      <c r="D45" s="228">
        <f>19</f>
        <v>19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116</v>
      </c>
      <c r="D46" s="230">
        <f>D45+D44</f>
        <v>5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f>116</f>
        <v>116</v>
      </c>
      <c r="D47" s="218">
        <f>5</f>
        <v>5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43158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Николай Димитров Колев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655</v>
      </c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429"/>
      <c r="B62" s="434"/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3400</v>
      </c>
      <c r="D13" s="320">
        <f>'1-Баланс'!H20</f>
        <v>0</v>
      </c>
      <c r="E13" s="320">
        <f>'1-Баланс'!H21</f>
        <v>210</v>
      </c>
      <c r="F13" s="320">
        <f>'1-Баланс'!H23</f>
        <v>0</v>
      </c>
      <c r="G13" s="320">
        <f>'1-Баланс'!H24</f>
        <v>409</v>
      </c>
      <c r="H13" s="321"/>
      <c r="I13" s="320">
        <f>'1-Баланс'!H29+'1-Баланс'!H32</f>
        <v>793</v>
      </c>
      <c r="J13" s="320">
        <f>'1-Баланс'!H30+'1-Баланс'!H33</f>
        <v>-5315</v>
      </c>
      <c r="K13" s="321"/>
      <c r="L13" s="320">
        <f>SUM(C13:K13)</f>
        <v>-503</v>
      </c>
      <c r="M13" s="322">
        <f>'1-Баланс'!H40</f>
        <v>0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3400</v>
      </c>
      <c r="D17" s="388">
        <f aca="true" t="shared" si="2" ref="D17:M17">D13+D14</f>
        <v>0</v>
      </c>
      <c r="E17" s="388">
        <f t="shared" si="2"/>
        <v>210</v>
      </c>
      <c r="F17" s="388">
        <f t="shared" si="2"/>
        <v>0</v>
      </c>
      <c r="G17" s="388">
        <f t="shared" si="2"/>
        <v>409</v>
      </c>
      <c r="H17" s="388">
        <f t="shared" si="2"/>
        <v>0</v>
      </c>
      <c r="I17" s="388">
        <f t="shared" si="2"/>
        <v>793</v>
      </c>
      <c r="J17" s="388">
        <f t="shared" si="2"/>
        <v>-5315</v>
      </c>
      <c r="K17" s="388">
        <f t="shared" si="2"/>
        <v>0</v>
      </c>
      <c r="L17" s="320">
        <f t="shared" si="1"/>
        <v>-503</v>
      </c>
      <c r="M17" s="389">
        <f t="shared" si="2"/>
        <v>0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31</v>
      </c>
      <c r="J18" s="320">
        <f>+'1-Баланс'!G33</f>
        <v>0</v>
      </c>
      <c r="K18" s="321"/>
      <c r="L18" s="320">
        <f t="shared" si="1"/>
        <v>31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>
        <f>89</f>
        <v>89</v>
      </c>
      <c r="H30" s="235"/>
      <c r="I30" s="235">
        <f>84</f>
        <v>84</v>
      </c>
      <c r="J30" s="235">
        <f>-174</f>
        <v>-174</v>
      </c>
      <c r="K30" s="235"/>
      <c r="L30" s="320">
        <f t="shared" si="1"/>
        <v>-1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3400</v>
      </c>
      <c r="D31" s="388">
        <f aca="true" t="shared" si="6" ref="D31:M31">D19+D22+D23+D26+D30+D29+D17+D18</f>
        <v>0</v>
      </c>
      <c r="E31" s="388">
        <f t="shared" si="6"/>
        <v>210</v>
      </c>
      <c r="F31" s="388">
        <f t="shared" si="6"/>
        <v>0</v>
      </c>
      <c r="G31" s="388">
        <f t="shared" si="6"/>
        <v>498</v>
      </c>
      <c r="H31" s="388">
        <f t="shared" si="6"/>
        <v>0</v>
      </c>
      <c r="I31" s="388">
        <f t="shared" si="6"/>
        <v>908</v>
      </c>
      <c r="J31" s="388">
        <f t="shared" si="6"/>
        <v>-5489</v>
      </c>
      <c r="K31" s="388">
        <f t="shared" si="6"/>
        <v>0</v>
      </c>
      <c r="L31" s="320">
        <f t="shared" si="1"/>
        <v>-473</v>
      </c>
      <c r="M31" s="389">
        <f t="shared" si="6"/>
        <v>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3400</v>
      </c>
      <c r="D34" s="323">
        <f t="shared" si="7"/>
        <v>0</v>
      </c>
      <c r="E34" s="323">
        <f t="shared" si="7"/>
        <v>210</v>
      </c>
      <c r="F34" s="323">
        <f t="shared" si="7"/>
        <v>0</v>
      </c>
      <c r="G34" s="323">
        <f t="shared" si="7"/>
        <v>498</v>
      </c>
      <c r="H34" s="323">
        <f t="shared" si="7"/>
        <v>0</v>
      </c>
      <c r="I34" s="323">
        <f t="shared" si="7"/>
        <v>908</v>
      </c>
      <c r="J34" s="323">
        <f t="shared" si="7"/>
        <v>-5489</v>
      </c>
      <c r="K34" s="323">
        <f t="shared" si="7"/>
        <v>0</v>
      </c>
      <c r="L34" s="386">
        <f t="shared" si="1"/>
        <v>-473</v>
      </c>
      <c r="M34" s="324">
        <f>M31+M32+M33</f>
        <v>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640</v>
      </c>
      <c r="B38" s="435">
        <f>pdeReportingDate</f>
        <v>43158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Николай Димитров Колев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655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/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/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/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ТОДОРОВ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01.01.2018 г. до 31.12.2018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646</v>
      </c>
      <c r="B6" s="402" t="s">
        <v>611</v>
      </c>
      <c r="C6" s="409">
        <f>'1-Баланс'!C95</f>
        <v>3486</v>
      </c>
      <c r="D6" s="410">
        <f aca="true" t="shared" si="0" ref="D6:D15">C6-E6</f>
        <v>0</v>
      </c>
      <c r="E6" s="409">
        <f>'1-Баланс'!G95</f>
        <v>3486</v>
      </c>
      <c r="F6" s="403" t="s">
        <v>612</v>
      </c>
      <c r="G6" s="411" t="s">
        <v>646</v>
      </c>
    </row>
    <row r="7" spans="1:7" ht="18.75" customHeight="1">
      <c r="A7" s="411" t="s">
        <v>646</v>
      </c>
      <c r="B7" s="402" t="s">
        <v>610</v>
      </c>
      <c r="C7" s="409">
        <f>'1-Баланс'!G37</f>
        <v>-473</v>
      </c>
      <c r="D7" s="410">
        <f t="shared" si="0"/>
        <v>-3873</v>
      </c>
      <c r="E7" s="409">
        <f>'1-Баланс'!G18</f>
        <v>3400</v>
      </c>
      <c r="F7" s="403" t="s">
        <v>455</v>
      </c>
      <c r="G7" s="411" t="s">
        <v>646</v>
      </c>
    </row>
    <row r="8" spans="1:7" ht="18.75" customHeight="1">
      <c r="A8" s="411" t="s">
        <v>646</v>
      </c>
      <c r="B8" s="402" t="s">
        <v>608</v>
      </c>
      <c r="C8" s="409">
        <f>ABS('1-Баланс'!G32)-ABS('1-Баланс'!G33)</f>
        <v>31</v>
      </c>
      <c r="D8" s="410">
        <f t="shared" si="0"/>
        <v>0</v>
      </c>
      <c r="E8" s="409">
        <f>ABS('2-Отчет за доходите'!C44)-ABS('2-Отчет за доходите'!G44)</f>
        <v>31</v>
      </c>
      <c r="F8" s="403" t="s">
        <v>609</v>
      </c>
      <c r="G8" s="412" t="s">
        <v>648</v>
      </c>
    </row>
    <row r="9" spans="1:7" ht="18.75" customHeight="1">
      <c r="A9" s="411" t="s">
        <v>646</v>
      </c>
      <c r="B9" s="402" t="s">
        <v>614</v>
      </c>
      <c r="C9" s="409">
        <f>'1-Баланс'!D92</f>
        <v>5</v>
      </c>
      <c r="D9" s="410">
        <f t="shared" si="0"/>
        <v>0</v>
      </c>
      <c r="E9" s="409">
        <f>'3-Отчет за паричния поток'!C45</f>
        <v>5</v>
      </c>
      <c r="F9" s="403" t="s">
        <v>613</v>
      </c>
      <c r="G9" s="412" t="s">
        <v>647</v>
      </c>
    </row>
    <row r="10" spans="1:7" ht="18.75" customHeight="1">
      <c r="A10" s="411" t="s">
        <v>646</v>
      </c>
      <c r="B10" s="402" t="s">
        <v>615</v>
      </c>
      <c r="C10" s="409">
        <f>'1-Баланс'!C92</f>
        <v>116</v>
      </c>
      <c r="D10" s="410">
        <f t="shared" si="0"/>
        <v>0</v>
      </c>
      <c r="E10" s="409">
        <f>'3-Отчет за паричния поток'!C46</f>
        <v>116</v>
      </c>
      <c r="F10" s="403" t="s">
        <v>616</v>
      </c>
      <c r="G10" s="412" t="s">
        <v>647</v>
      </c>
    </row>
    <row r="11" spans="1:7" ht="18.75" customHeight="1">
      <c r="A11" s="411" t="s">
        <v>646</v>
      </c>
      <c r="B11" s="402" t="s">
        <v>610</v>
      </c>
      <c r="C11" s="409">
        <f>'1-Баланс'!G37</f>
        <v>-473</v>
      </c>
      <c r="D11" s="410">
        <f t="shared" si="0"/>
        <v>0</v>
      </c>
      <c r="E11" s="409">
        <f>'4-Отчет за собствения капитал'!L34</f>
        <v>-473</v>
      </c>
      <c r="F11" s="403" t="s">
        <v>617</v>
      </c>
      <c r="G11" s="412" t="s">
        <v>649</v>
      </c>
    </row>
    <row r="12" spans="1:7" ht="18.75" customHeight="1">
      <c r="A12" s="411" t="s">
        <v>646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650</v>
      </c>
    </row>
    <row r="13" spans="1:7" ht="18.75" customHeight="1">
      <c r="A13" s="411" t="s">
        <v>646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650</v>
      </c>
    </row>
    <row r="14" spans="1:7" ht="18.75" customHeight="1">
      <c r="A14" s="411" t="s">
        <v>646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650</v>
      </c>
    </row>
    <row r="15" spans="1:7" ht="18.75" customHeight="1">
      <c r="A15" s="411" t="s">
        <v>646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0.012586276898091758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-0.06553911205073996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0.007830260166708765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0.00889271371199082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1.0235537190082644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0.4138120032885722</v>
      </c>
    </row>
    <row r="11" spans="1:4" ht="63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0.2356810084954782</v>
      </c>
    </row>
    <row r="12" spans="1:4" ht="47.25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0.03178953137845985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0.03178953137845985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1.0322715842414083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0.7065404475043029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-1.901840490797546</v>
      </c>
    </row>
    <row r="19" spans="1:4" ht="31.5">
      <c r="A19" s="328">
        <v>13</v>
      </c>
      <c r="B19" s="326" t="s">
        <v>598</v>
      </c>
      <c r="C19" s="327" t="s">
        <v>572</v>
      </c>
      <c r="D19" s="376">
        <f>D4/D5</f>
        <v>-8.369978858350953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1.135685599541021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213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-0.4503171247357294</v>
      </c>
    </row>
    <row r="23" spans="1:4" ht="31.5">
      <c r="A23" s="328">
        <v>17</v>
      </c>
      <c r="B23" s="326" t="s">
        <v>642</v>
      </c>
      <c r="C23" s="327" t="s">
        <v>643</v>
      </c>
      <c r="D23" s="382">
        <f>(D21+'2-Отчет за доходите'!C14)/'2-Отчет за доходите'!G31</f>
        <v>0.10012111425111021</v>
      </c>
    </row>
    <row r="24" spans="1:4" ht="31.5">
      <c r="A24" s="328">
        <v>18</v>
      </c>
      <c r="B24" s="326" t="s">
        <v>644</v>
      </c>
      <c r="C24" s="327" t="s">
        <v>645</v>
      </c>
      <c r="D24" s="382">
        <f>('1-Баланс'!G56+'1-Баланс'!G79)/(D21+'2-Отчет за доходите'!C14)</f>
        <v>15.963709677419354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7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510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7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717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7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7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7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7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11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7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7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319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7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1558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7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7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173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7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7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7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7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7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7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7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7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7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7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7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7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7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7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7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7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7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7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7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7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7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7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7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7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7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7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7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232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7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1976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7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144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7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90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7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7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396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7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7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7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648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7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517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7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171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7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56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7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7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7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7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7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7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744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7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7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7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7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7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7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7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7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82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7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34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7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7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7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116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7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7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1510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7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3486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7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7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7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7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7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7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7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7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7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210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7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498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7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7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498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7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7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708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7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-4612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7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877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7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-5489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7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7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31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7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7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-4581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7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-473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7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7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7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7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7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7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7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7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7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7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7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62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7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237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7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310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7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1395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7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7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2237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7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46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7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473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7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1162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7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167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7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26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7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85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7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278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7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7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7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3641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7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7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7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8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7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3649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7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3486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7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771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7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309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7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35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7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419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7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60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7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16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7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329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7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323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7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133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7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7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2262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7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156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7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7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7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2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7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158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7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2420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7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57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7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7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7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2420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7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57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7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26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7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7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26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7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7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31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7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7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31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7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2477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7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2296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7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17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7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7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146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7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2463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7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14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7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14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7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7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7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7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7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7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7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2477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7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7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7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7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2477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7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7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7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7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7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2477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7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1424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7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-817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7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7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-433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7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-59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7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7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7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-2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7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7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-2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7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111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7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7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7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7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7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7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7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7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7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7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7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7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7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7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7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7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7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7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7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7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0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7">
        <f t="shared" si="20"/>
        <v>43465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111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7">
        <f t="shared" si="20"/>
        <v>43465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5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7">
        <f t="shared" si="20"/>
        <v>43465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116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7">
        <f t="shared" si="20"/>
        <v>43465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116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7">
        <f t="shared" si="20"/>
        <v>43465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7">
        <f aca="true" t="shared" si="23" ref="C218:C281">endDate</f>
        <v>43465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7">
        <f t="shared" si="23"/>
        <v>43465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7">
        <f t="shared" si="23"/>
        <v>43465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7">
        <f t="shared" si="23"/>
        <v>43465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7">
        <f t="shared" si="23"/>
        <v>43465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7">
        <f t="shared" si="23"/>
        <v>43465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7">
        <f t="shared" si="23"/>
        <v>43465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7">
        <f t="shared" si="23"/>
        <v>43465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7">
        <f t="shared" si="23"/>
        <v>43465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7">
        <f t="shared" si="23"/>
        <v>43465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7">
        <f t="shared" si="23"/>
        <v>43465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7">
        <f t="shared" si="23"/>
        <v>43465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7">
        <f t="shared" si="23"/>
        <v>43465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7">
        <f t="shared" si="23"/>
        <v>43465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7">
        <f t="shared" si="23"/>
        <v>43465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7">
        <f t="shared" si="23"/>
        <v>43465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7">
        <f t="shared" si="23"/>
        <v>43465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7">
        <f t="shared" si="23"/>
        <v>43465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7">
        <f t="shared" si="23"/>
        <v>43465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7">
        <f t="shared" si="23"/>
        <v>43465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7">
        <f t="shared" si="23"/>
        <v>43465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7">
        <f t="shared" si="23"/>
        <v>43465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7">
        <f t="shared" si="23"/>
        <v>43465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7">
        <f t="shared" si="23"/>
        <v>43465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7">
        <f t="shared" si="23"/>
        <v>43465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7">
        <f t="shared" si="23"/>
        <v>43465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7">
        <f t="shared" si="23"/>
        <v>43465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7">
        <f t="shared" si="23"/>
        <v>43465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7">
        <f t="shared" si="23"/>
        <v>43465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7">
        <f t="shared" si="23"/>
        <v>43465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7">
        <f t="shared" si="23"/>
        <v>43465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7">
        <f t="shared" si="23"/>
        <v>43465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7">
        <f t="shared" si="23"/>
        <v>43465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7">
        <f t="shared" si="23"/>
        <v>43465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7">
        <f t="shared" si="23"/>
        <v>43465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7">
        <f t="shared" si="23"/>
        <v>43465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7">
        <f t="shared" si="23"/>
        <v>43465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7">
        <f t="shared" si="23"/>
        <v>43465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7">
        <f t="shared" si="23"/>
        <v>43465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7">
        <f t="shared" si="23"/>
        <v>43465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7">
        <f t="shared" si="23"/>
        <v>43465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7">
        <f t="shared" si="23"/>
        <v>43465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7">
        <f t="shared" si="23"/>
        <v>43465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7">
        <f t="shared" si="23"/>
        <v>43465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7">
        <f t="shared" si="23"/>
        <v>43465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210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7">
        <f t="shared" si="23"/>
        <v>43465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7">
        <f t="shared" si="23"/>
        <v>43465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7">
        <f t="shared" si="23"/>
        <v>43465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7">
        <f t="shared" si="23"/>
        <v>43465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210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7">
        <f t="shared" si="23"/>
        <v>43465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7">
        <f t="shared" si="23"/>
        <v>43465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7">
        <f t="shared" si="23"/>
        <v>43465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7">
        <f t="shared" si="23"/>
        <v>43465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7">
        <f t="shared" si="23"/>
        <v>43465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7">
        <f t="shared" si="23"/>
        <v>43465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7">
        <f t="shared" si="23"/>
        <v>43465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7">
        <f t="shared" si="23"/>
        <v>43465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7">
        <f t="shared" si="23"/>
        <v>43465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7">
        <f t="shared" si="23"/>
        <v>43465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7">
        <f t="shared" si="23"/>
        <v>43465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7">
        <f t="shared" si="23"/>
        <v>43465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7">
        <f t="shared" si="23"/>
        <v>43465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7">
        <f t="shared" si="23"/>
        <v>43465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210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7">
        <f t="shared" si="23"/>
        <v>43465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7">
        <f aca="true" t="shared" si="26" ref="C282:C345">endDate</f>
        <v>43465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7">
        <f t="shared" si="26"/>
        <v>43465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210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7">
        <f t="shared" si="26"/>
        <v>43465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7">
        <f t="shared" si="26"/>
        <v>43465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7">
        <f t="shared" si="26"/>
        <v>43465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7">
        <f t="shared" si="26"/>
        <v>43465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7">
        <f t="shared" si="26"/>
        <v>43465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7">
        <f t="shared" si="26"/>
        <v>43465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7">
        <f t="shared" si="26"/>
        <v>43465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7">
        <f t="shared" si="26"/>
        <v>43465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7">
        <f t="shared" si="26"/>
        <v>43465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7">
        <f t="shared" si="26"/>
        <v>43465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7">
        <f t="shared" si="26"/>
        <v>43465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7">
        <f t="shared" si="26"/>
        <v>43465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7">
        <f t="shared" si="26"/>
        <v>43465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7">
        <f t="shared" si="26"/>
        <v>43465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7">
        <f t="shared" si="26"/>
        <v>43465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7">
        <f t="shared" si="26"/>
        <v>43465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7">
        <f t="shared" si="26"/>
        <v>43465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7">
        <f t="shared" si="26"/>
        <v>43465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7">
        <f t="shared" si="26"/>
        <v>43465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7">
        <f t="shared" si="26"/>
        <v>43465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7">
        <f t="shared" si="26"/>
        <v>43465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7">
        <f t="shared" si="26"/>
        <v>43465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7">
        <f t="shared" si="26"/>
        <v>43465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409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7">
        <f t="shared" si="26"/>
        <v>43465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7">
        <f t="shared" si="26"/>
        <v>43465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7">
        <f t="shared" si="26"/>
        <v>43465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7">
        <f t="shared" si="26"/>
        <v>43465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409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7">
        <f t="shared" si="26"/>
        <v>43465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7">
        <f t="shared" si="26"/>
        <v>43465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7">
        <f t="shared" si="26"/>
        <v>43465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7">
        <f t="shared" si="26"/>
        <v>43465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7">
        <f t="shared" si="26"/>
        <v>43465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7">
        <f t="shared" si="26"/>
        <v>43465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7">
        <f t="shared" si="26"/>
        <v>43465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7">
        <f t="shared" si="26"/>
        <v>43465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7">
        <f t="shared" si="26"/>
        <v>43465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7">
        <f t="shared" si="26"/>
        <v>43465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7">
        <f t="shared" si="26"/>
        <v>43465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7">
        <f t="shared" si="26"/>
        <v>43465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7">
        <f t="shared" si="26"/>
        <v>43465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89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7">
        <f t="shared" si="26"/>
        <v>43465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498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7">
        <f t="shared" si="26"/>
        <v>43465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7">
        <f t="shared" si="26"/>
        <v>43465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7">
        <f t="shared" si="26"/>
        <v>43465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498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7">
        <f t="shared" si="26"/>
        <v>43465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7">
        <f t="shared" si="26"/>
        <v>43465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7">
        <f t="shared" si="26"/>
        <v>43465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7">
        <f t="shared" si="26"/>
        <v>43465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7">
        <f t="shared" si="26"/>
        <v>43465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7">
        <f t="shared" si="26"/>
        <v>43465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7">
        <f t="shared" si="26"/>
        <v>43465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7">
        <f t="shared" si="26"/>
        <v>43465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7">
        <f t="shared" si="26"/>
        <v>43465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7">
        <f t="shared" si="26"/>
        <v>43465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7">
        <f t="shared" si="26"/>
        <v>43465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7">
        <f t="shared" si="26"/>
        <v>43465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7">
        <f t="shared" si="26"/>
        <v>43465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7">
        <f t="shared" si="26"/>
        <v>43465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7">
        <f t="shared" si="26"/>
        <v>43465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7">
        <f t="shared" si="26"/>
        <v>43465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7">
        <f t="shared" si="26"/>
        <v>43465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7">
        <f t="shared" si="26"/>
        <v>43465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7">
        <f aca="true" t="shared" si="29" ref="C346:C409">endDate</f>
        <v>43465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7">
        <f t="shared" si="29"/>
        <v>43465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7">
        <f t="shared" si="29"/>
        <v>43465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7">
        <f t="shared" si="29"/>
        <v>43465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7">
        <f t="shared" si="29"/>
        <v>43465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793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7">
        <f t="shared" si="29"/>
        <v>43465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7">
        <f t="shared" si="29"/>
        <v>43465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7">
        <f t="shared" si="29"/>
        <v>43465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7">
        <f t="shared" si="29"/>
        <v>43465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793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7">
        <f t="shared" si="29"/>
        <v>43465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31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7">
        <f t="shared" si="29"/>
        <v>43465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7">
        <f t="shared" si="29"/>
        <v>43465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7">
        <f t="shared" si="29"/>
        <v>43465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7">
        <f t="shared" si="29"/>
        <v>43465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7">
        <f t="shared" si="29"/>
        <v>43465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7">
        <f t="shared" si="29"/>
        <v>43465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7">
        <f t="shared" si="29"/>
        <v>43465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7">
        <f t="shared" si="29"/>
        <v>43465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7">
        <f t="shared" si="29"/>
        <v>43465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7">
        <f t="shared" si="29"/>
        <v>43465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7">
        <f t="shared" si="29"/>
        <v>43465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7">
        <f t="shared" si="29"/>
        <v>43465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84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7">
        <f t="shared" si="29"/>
        <v>43465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908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7">
        <f t="shared" si="29"/>
        <v>43465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7">
        <f t="shared" si="29"/>
        <v>43465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7">
        <f t="shared" si="29"/>
        <v>43465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908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7">
        <f t="shared" si="29"/>
        <v>43465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-5315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7">
        <f t="shared" si="29"/>
        <v>43465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7">
        <f t="shared" si="29"/>
        <v>43465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7">
        <f t="shared" si="29"/>
        <v>43465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7">
        <f t="shared" si="29"/>
        <v>43465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-5315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7">
        <f t="shared" si="29"/>
        <v>43465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7">
        <f t="shared" si="29"/>
        <v>43465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7">
        <f t="shared" si="29"/>
        <v>43465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7">
        <f t="shared" si="29"/>
        <v>43465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7">
        <f t="shared" si="29"/>
        <v>43465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7">
        <f t="shared" si="29"/>
        <v>43465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7">
        <f t="shared" si="29"/>
        <v>43465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7">
        <f t="shared" si="29"/>
        <v>43465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7">
        <f t="shared" si="29"/>
        <v>43465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7">
        <f t="shared" si="29"/>
        <v>43465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7">
        <f t="shared" si="29"/>
        <v>43465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7">
        <f t="shared" si="29"/>
        <v>43465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7">
        <f t="shared" si="29"/>
        <v>43465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-174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7">
        <f t="shared" si="29"/>
        <v>43465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-5489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7">
        <f t="shared" si="29"/>
        <v>43465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7">
        <f t="shared" si="29"/>
        <v>43465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7">
        <f t="shared" si="29"/>
        <v>43465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-5489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7">
        <f t="shared" si="29"/>
        <v>43465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7">
        <f t="shared" si="29"/>
        <v>43465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7">
        <f t="shared" si="29"/>
        <v>43465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7">
        <f t="shared" si="29"/>
        <v>43465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7">
        <f t="shared" si="29"/>
        <v>43465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7">
        <f t="shared" si="29"/>
        <v>43465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7">
        <f t="shared" si="29"/>
        <v>43465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7">
        <f t="shared" si="29"/>
        <v>43465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7">
        <f t="shared" si="29"/>
        <v>43465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7">
        <f t="shared" si="29"/>
        <v>43465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7">
        <f t="shared" si="29"/>
        <v>43465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7">
        <f t="shared" si="29"/>
        <v>43465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7">
        <f t="shared" si="29"/>
        <v>43465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7">
        <f t="shared" si="29"/>
        <v>43465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7">
        <f t="shared" si="29"/>
        <v>43465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7">
        <f t="shared" si="29"/>
        <v>43465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7">
        <f aca="true" t="shared" si="32" ref="C410:C459">endDate</f>
        <v>43465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7">
        <f t="shared" si="32"/>
        <v>43465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7">
        <f t="shared" si="32"/>
        <v>43465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7">
        <f t="shared" si="32"/>
        <v>43465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7">
        <f t="shared" si="32"/>
        <v>43465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7">
        <f t="shared" si="32"/>
        <v>43465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7">
        <f t="shared" si="32"/>
        <v>43465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-503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7">
        <f t="shared" si="32"/>
        <v>43465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7">
        <f t="shared" si="32"/>
        <v>43465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7">
        <f t="shared" si="32"/>
        <v>43465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7">
        <f t="shared" si="32"/>
        <v>43465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-503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7">
        <f t="shared" si="32"/>
        <v>43465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31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7">
        <f t="shared" si="32"/>
        <v>43465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7">
        <f t="shared" si="32"/>
        <v>43465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7">
        <f t="shared" si="32"/>
        <v>43465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7">
        <f t="shared" si="32"/>
        <v>43465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7">
        <f t="shared" si="32"/>
        <v>43465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7">
        <f t="shared" si="32"/>
        <v>43465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7">
        <f t="shared" si="32"/>
        <v>43465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7">
        <f t="shared" si="32"/>
        <v>43465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7">
        <f t="shared" si="32"/>
        <v>43465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7">
        <f t="shared" si="32"/>
        <v>43465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7">
        <f t="shared" si="32"/>
        <v>43465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7">
        <f t="shared" si="32"/>
        <v>43465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-1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7">
        <f t="shared" si="32"/>
        <v>43465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-473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7">
        <f t="shared" si="32"/>
        <v>43465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7">
        <f t="shared" si="32"/>
        <v>43465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7">
        <f t="shared" si="32"/>
        <v>43465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-473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7">
        <f t="shared" si="32"/>
        <v>43465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7">
        <f t="shared" si="32"/>
        <v>43465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7">
        <f t="shared" si="32"/>
        <v>43465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7">
        <f t="shared" si="32"/>
        <v>43465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7">
        <f t="shared" si="32"/>
        <v>43465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7">
        <f t="shared" si="32"/>
        <v>43465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7">
        <f t="shared" si="32"/>
        <v>43465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7">
        <f t="shared" si="32"/>
        <v>43465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7">
        <f t="shared" si="32"/>
        <v>43465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7">
        <f t="shared" si="32"/>
        <v>43465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7">
        <f t="shared" si="32"/>
        <v>43465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7">
        <f t="shared" si="32"/>
        <v>43465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7">
        <f t="shared" si="32"/>
        <v>43465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7">
        <f t="shared" si="32"/>
        <v>43465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7">
        <f t="shared" si="32"/>
        <v>43465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7">
        <f t="shared" si="32"/>
        <v>43465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7">
        <f t="shared" si="32"/>
        <v>43465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7">
        <f t="shared" si="32"/>
        <v>43465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7">
        <f t="shared" si="32"/>
        <v>43465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7">
        <f t="shared" si="32"/>
        <v>43465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7">
        <f t="shared" si="32"/>
        <v>43465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7">
        <f t="shared" si="32"/>
        <v>43465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2019-02-27T16:42:49Z</cp:lastPrinted>
  <dcterms:created xsi:type="dcterms:W3CDTF">2006-09-16T00:00:00Z</dcterms:created>
  <dcterms:modified xsi:type="dcterms:W3CDTF">2019-02-27T16:42:51Z</dcterms:modified>
  <cp:category/>
  <cp:version/>
  <cp:contentType/>
  <cp:contentStatus/>
</cp:coreProperties>
</file>