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№4-ОСК'!$A$1:$M$38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<sst xmlns="http://schemas.openxmlformats.org/spreadsheetml/2006/main" count="1067" uniqueCount="894">
  <si>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</si>
  <si>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</si>
  <si>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</si>
  <si>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</si>
  <si>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</si>
  <si>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</si>
  <si>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</si>
  <si>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</si>
  <si>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</si>
  <si>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</si>
  <si>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</si>
  <si>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</si>
  <si>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</si>
  <si>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</si>
  <si>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</si>
  <si>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</si>
  <si>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</si>
  <si>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</si>
  <si>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</si>
  <si>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</si>
  <si>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</si>
  <si>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</si>
  <si>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</si>
  <si>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</si>
  <si>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</si>
  <si>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</si>
  <si>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</si>
  <si>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</si>
  <si>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</si>
  <si>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</si>
  <si>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</si>
  <si>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</si>
  <si>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</si>
  <si>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</si>
  <si>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</si>
  <si>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</si>
  <si>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</si>
  <si>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</si>
  <si>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</si>
  <si>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</si>
  <si>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</si>
  <si>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</si>
  <si>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</si>
  <si>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</si>
  <si>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</si>
  <si>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</si>
  <si>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</si>
  <si>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</si>
  <si>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</si>
  <si>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</si>
  <si>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</si>
  <si>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</si>
  <si>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</si>
  <si>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</si>
  <si>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</si>
  <si>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</si>
  <si>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</si>
  <si>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</si>
  <si>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</si>
  <si>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</si>
  <si>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</si>
  <si>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</si>
  <si>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</si>
  <si>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</si>
  <si>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</si>
  <si>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</si>
  <si>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</si>
  <si>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</si>
  <si>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</si>
  <si>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</si>
  <si>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</si>
  <si>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</si>
  <si>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</si>
  <si>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</si>
  <si>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</si>
  <si>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</si>
  <si>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</si>
  <si>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</si>
  <si>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</si>
  <si>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</si>
  <si>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</si>
  <si>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</si>
  <si>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</si>
  <si>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</si>
  <si>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</si>
  <si>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</si>
  <si>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</si>
  <si>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</si>
  <si>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</si>
  <si>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</si>
  <si>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</si>
  <si>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</si>
  <si>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</si>
  <si>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</si>
  <si>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</si>
  <si>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</si>
  <si>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</si>
  <si>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</si>
  <si>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</si>
  <si>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</si>
  <si>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</si>
  <si>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</si>
  <si>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</si>
  <si>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</si>
  <si>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</si>
  <si>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</si>
  <si>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</si>
  <si>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</si>
  <si>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</si>
  <si>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</si>
  <si>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</si>
  <si>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</si>
  <si>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</si>
  <si>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</si>
  <si>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</si>
  <si>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</si>
  <si>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</si>
  <si>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</si>
  <si>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</si>
  <si>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</si>
  <si>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</si>
  <si>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</si>
  <si>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</si>
  <si>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</si>
  <si>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</si>
  <si>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</si>
  <si>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</si>
  <si>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</si>
  <si>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</si>
  <si>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</si>
  <si>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</si>
  <si>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</si>
  <si>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</si>
  <si>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</si>
  <si>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</si>
  <si>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</si>
  <si>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</si>
  <si>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</si>
  <si>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</si>
  <si>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</si>
  <si>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</si>
  <si>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</si>
  <si>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</si>
  <si>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</si>
  <si>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</si>
  <si>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</si>
  <si>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</si>
  <si>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</si>
  <si>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</si>
  <si>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</si>
  <si>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</si>
  <si>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</si>
  <si>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</si>
  <si>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</si>
  <si>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</si>
  <si>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</si>
  <si>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</si>
  <si>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</si>
  <si>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</si>
  <si>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</si>
  <si>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</si>
  <si>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</si>
  <si>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</si>
  <si>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</si>
  <si>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</si>
  <si>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</si>
  <si>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</si>
  <si>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</si>
  <si>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</si>
  <si>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</si>
  <si>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</si>
  <si>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</si>
  <si>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</si>
  <si>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</si>
  <si>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</si>
  <si>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</si>
  <si>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</si>
  <si>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</si>
  <si>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</si>
  <si>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</si>
  <si>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</si>
  <si>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</si>
  <si>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</si>
  <si>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</si>
  <si>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</si>
  <si>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</si>
  <si>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</si>
  <si>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</si>
  <si>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</si>
  <si>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</si>
  <si>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</si>
  <si>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</si>
  <si>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</si>
  <si>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</si>
  <si>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</si>
  <si>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</si>
  <si>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</si>
  <si>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</si>
  <si>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</si>
  <si>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</si>
  <si>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</si>
  <si>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</si>
  <si>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</si>
  <si>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</si>
  <si>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</si>
  <si>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</si>
  <si>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</si>
  <si>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</si>
  <si>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</si>
  <si>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</si>
  <si>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</si>
  <si>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</si>
  <si>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</si>
  <si>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</si>
  <si>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</si>
  <si>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</si>
  <si>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</si>
  <si>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</si>
  <si>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</si>
  <si>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</si>
  <si>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</si>
  <si>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</si>
  <si>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</si>
  <si>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</si>
  <si>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</si>
  <si>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</si>
  <si>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</si>
  <si>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</si>
  <si>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</si>
  <si>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</si>
  <si>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</si>
  <si>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</si>
  <si>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</si>
  <si>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</si>
  <si>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</si>
  <si>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</si>
  <si>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</si>
  <si>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</si>
  <si>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</si>
  <si>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</si>
  <si>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</si>
  <si>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</si>
  <si>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</si>
  <si>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</si>
  <si>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</si>
  <si>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</si>
  <si>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</si>
  <si>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</si>
  <si>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</si>
  <si>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</si>
  <si>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</si>
  <si>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</si>
  <si>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</si>
  <si>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</si>
  <si>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</si>
  <si>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</si>
  <si>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</si>
  <si>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</si>
  <si>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</si>
  <si>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</si>
  <si>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</si>
  <si>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</si>
  <si>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</si>
  <si>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</si>
  <si>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</si>
  <si>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</si>
  <si>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</si>
  <si>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</si>
  <si>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</si>
  <si>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</si>
  <si>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</si>
  <si>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</si>
  <si>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</si>
  <si>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</si>
  <si>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</si>
  <si>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</si>
  <si>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</si>
  <si>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</si>
  <si>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</si>
  <si>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</si>
  <si>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</si>
  <si>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</si>
  <si>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</si>
  <si>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</si>
  <si>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</si>
  <si>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</si>
  <si>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</si>
  <si>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</si>
  <si>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</si>
  <si>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</si>
  <si>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</si>
  <si>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</si>
  <si>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</si>
  <si>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</si>
  <si>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</si>
  <si>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</si>
  <si>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</si>
  <si>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</si>
  <si>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</si>
  <si>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</si>
  <si>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</si>
  <si>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</si>
  <si>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</si>
  <si>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</si>
  <si>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</si>
  <si>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</si>
  <si>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</si>
  <si>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</si>
  <si>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</si>
  <si>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</si>
  <si>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</si>
  <si>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</si>
  <si>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</si>
  <si>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</si>
  <si>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</si>
  <si>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</si>
  <si>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</si>
  <si>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</si>
  <si>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</si>
  <si>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</si>
  <si>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</si>
  <si>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</si>
  <si>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</si>
  <si>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</si>
  <si>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</si>
  <si>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</si>
  <si>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</si>
  <si>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</si>
  <si>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</si>
  <si>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</si>
  <si>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</si>
  <si>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</si>
  <si>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</si>
  <si>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</si>
  <si>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</si>
  <si>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</si>
  <si>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</si>
  <si>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</si>
  <si>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</si>
  <si>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</si>
  <si>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</si>
  <si>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</si>
  <si>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</si>
  <si>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</si>
  <si>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</si>
  <si>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</si>
  <si>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</si>
  <si>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</si>
  <si>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</si>
  <si>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</si>
  <si>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</si>
  <si>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</si>
  <si>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</si>
  <si>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</si>
  <si>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</si>
  <si>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</si>
  <si>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</si>
  <si>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</si>
  <si>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</si>
  <si>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</si>
  <si>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</si>
  <si>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</si>
  <si>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</si>
  <si>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</si>
  <si>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</si>
  <si>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</si>
  <si>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</si>
  <si>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</si>
  <si>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</si>
  <si>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</si>
  <si>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</si>
  <si>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</si>
  <si>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</si>
  <si>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</si>
  <si>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</si>
  <si>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</si>
  <si>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</si>
  <si>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</si>
  <si>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</si>
  <si>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</si>
  <si>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</si>
  <si>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</si>
  <si>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</si>
  <si>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</si>
  <si>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</si>
  <si>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</si>
  <si>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</si>
  <si>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</si>
  <si>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</si>
  <si>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</si>
  <si>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</si>
  <si>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</si>
  <si>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</si>
  <si>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</si>
  <si>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</si>
  <si>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</si>
  <si>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</si>
  <si>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</si>
  <si>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</si>
  <si>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</si>
  <si>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</si>
  <si>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</si>
  <si>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</si>
  <si>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</si>
  <si>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</si>
  <si>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</si>
  <si>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</si>
  <si>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</si>
  <si>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</si>
  <si>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</si>
  <si>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</si>
  <si>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</si>
  <si>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</si>
  <si>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</si>
  <si>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</si>
  <si>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</si>
  <si>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</si>
  <si>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</si>
  <si>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</si>
  <si>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</si>
  <si>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</si>
  <si>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</si>
  <si>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</si>
  <si>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</si>
  <si>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</si>
  <si>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</si>
  <si>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</si>
  <si>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</si>
  <si>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</si>
  <si>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</si>
  <si>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</si>
  <si>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</si>
  <si>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</si>
  <si>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</si>
  <si>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</si>
  <si>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</si>
  <si>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</si>
  <si>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</si>
  <si>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</si>
  <si>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</si>
  <si>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</si>
  <si>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</si>
  <si>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</si>
  <si>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</si>
  <si>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</si>
  <si>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</si>
  <si>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</si>
  <si>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</si>
  <si>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</si>
  <si>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</si>
  <si>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</si>
  <si>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</si>
  <si>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</si>
  <si>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</si>
  <si>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</si>
  <si>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</si>
  <si>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</si>
  <si>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</si>
  <si>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</si>
  <si>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</si>
  <si>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</si>
  <si>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</si>
  <si>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</si>
  <si>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</si>
  <si>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</si>
  <si>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</si>
  <si>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</si>
  <si>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</si>
  <si>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</si>
  <si>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</si>
  <si>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</si>
  <si>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</si>
  <si>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</si>
  <si>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</si>
  <si>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</si>
  <si>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</si>
  <si>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</si>
  <si>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</si>
  <si>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</si>
  <si>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</si>
  <si>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</si>
  <si>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</si>
  <si>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</si>
  <si>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</si>
  <si>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</si>
  <si>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</si>
  <si>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</si>
  <si>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</si>
  <si>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</si>
  <si>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</si>
  <si>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</si>
  <si>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</si>
  <si>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</si>
  <si>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</si>
  <si>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</si>
  <si>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</si>
  <si>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</si>
  <si>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</si>
  <si>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</si>
  <si>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</si>
  <si>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</si>
  <si>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</si>
  <si>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</si>
  <si>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</si>
  <si>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</si>
  <si>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</si>
  <si>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</si>
  <si>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</si>
  <si>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</si>
  <si>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</si>
  <si>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</si>
  <si>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</si>
  <si>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</si>
  <si>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</si>
  <si>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</si>
  <si>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</si>
  <si>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</si>
  <si>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</si>
  <si>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</si>
  <si>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</si>
  <si>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</si>
  <si>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</si>
  <si>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</si>
  <si>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</si>
  <si>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</si>
  <si>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</si>
  <si>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</si>
  <si>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</si>
  <si>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</si>
  <si>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</si>
  <si>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</si>
  <si>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</si>
  <si>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</si>
  <si>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</si>
  <si>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</si>
  <si>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</si>
  <si>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</si>
  <si>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</si>
  <si>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</si>
  <si>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</si>
  <si>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</si>
  <si>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</si>
  <si>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</si>
  <si>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</si>
  <si>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</si>
  <si>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</si>
  <si>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</si>
  <si>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</si>
  <si>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</si>
  <si>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</si>
  <si>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</si>
  <si>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</si>
  <si>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</si>
  <si>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</si>
  <si>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</si>
  <si>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</si>
  <si>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</si>
  <si>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</si>
  <si>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</si>
  <si>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</si>
  <si>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</si>
  <si>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</si>
  <si>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</si>
  <si>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</si>
  <si>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</si>
  <si>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</si>
  <si>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</si>
  <si>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</si>
  <si>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</si>
  <si>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</si>
  <si>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</si>
  <si>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</si>
  <si>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</si>
  <si>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</si>
  <si>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</si>
  <si>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</si>
  <si>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</si>
  <si>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</si>
  <si>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</si>
  <si>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</si>
  <si>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</si>
  <si>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</si>
  <si>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</si>
  <si>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</si>
  <si>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</si>
  <si>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</si>
  <si>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</si>
  <si>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</si>
  <si>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</si>
  <si>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</si>
  <si>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</si>
  <si>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</si>
  <si>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</si>
  <si>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</si>
  <si>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</si>
  <si>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</si>
  <si>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</si>
  <si>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</si>
  <si>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</si>
  <si>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</si>
  <si>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</si>
  <si>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</si>
  <si>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</si>
  <si>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</si>
  <si>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</si>
  <si>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</si>
  <si>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</si>
  <si>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</si>
  <si>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</si>
  <si>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</si>
  <si>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</si>
  <si>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</si>
  <si>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</si>
  <si>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</si>
  <si>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</si>
  <si>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</si>
  <si>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</si>
  <si>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</si>
  <si>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</si>
  <si>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</si>
  <si>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</si>
  <si>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</si>
  <si>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</si>
  <si>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</si>
  <si>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</si>
  <si>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</si>
  <si>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</si>
  <si>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</si>
  <si>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</si>
  <si>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</si>
  <si>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</si>
  <si>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</si>
  <si>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</si>
  <si>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</si>
  <si>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</si>
  <si>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</si>
  <si>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</si>
  <si>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</si>
  <si>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</si>
  <si>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</si>
  <si>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</si>
  <si>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</si>
  <si>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</si>
  <si>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</si>
  <si>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</si>
  <si>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</si>
  <si>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</si>
  <si>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</si>
  <si>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</si>
  <si>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</si>
  <si>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</si>
  <si>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</si>
  <si>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</si>
  <si>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</si>
  <si>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</si>
  <si>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</si>
  <si>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</si>
  <si>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</si>
  <si>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</si>
  <si>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</si>
  <si>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</si>
  <si>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</si>
  <si>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</si>
  <si>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</si>
  <si>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</si>
  <si>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</si>
  <si>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</si>
  <si>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</si>
  <si>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</si>
  <si>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</si>
  <si>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</si>
  <si>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</si>
  <si>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</si>
  <si>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</si>
  <si>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</si>
  <si>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</si>
  <si>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</si>
  <si>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</si>
  <si>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</si>
  <si>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</si>
  <si>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</si>
  <si>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</si>
  <si>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</si>
  <si>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</si>
  <si>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</si>
  <si>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</si>
  <si>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</si>
  <si>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</si>
  <si>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</si>
  <si>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</si>
  <si>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</si>
  <si>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</si>
  <si>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</si>
  <si>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</si>
  <si>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</si>
  <si>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</si>
  <si>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</si>
  <si>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</si>
  <si>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</si>
  <si>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</si>
  <si>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</si>
  <si>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</si>
  <si>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</si>
  <si>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</si>
  <si>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</si>
  <si>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</si>
  <si>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</si>
  <si>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</si>
  <si>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</si>
  <si>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</si>
  <si>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</si>
  <si>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</si>
  <si>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</si>
  <si>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</si>
  <si>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</si>
  <si>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</si>
  <si>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</si>
  <si>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</si>
  <si>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</si>
  <si>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</si>
  <si>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</si>
  <si>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</si>
  <si>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</si>
  <si>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</si>
  <si>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</si>
  <si>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</si>
  <si>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</si>
  <si>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</si>
  <si>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</si>
  <si>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</si>
  <si>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</si>
  <si>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</si>
  <si>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</si>
  <si>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</si>
  <si>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</si>
  <si>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</si>
  <si>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</si>
  <si>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</si>
  <si>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</si>
  <si>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</si>
  <si>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</si>
  <si>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</si>
  <si>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</si>
  <si>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</si>
  <si>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</si>
  <si>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</si>
  <si>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</si>
  <si>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</si>
  <si>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</si>
  <si>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</si>
  <si>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</si>
  <si>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</si>
  <si>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</si>
  <si>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</si>
  <si>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</si>
  <si>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</si>
  <si>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</si>
  <si>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</si>
  <si>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</si>
  <si>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</si>
  <si>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</si>
  <si>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</si>
  <si>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</si>
  <si>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</si>
  <si>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</si>
  <si>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</si>
  <si>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</si>
  <si>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</si>
  <si>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</si>
  <si>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</si>
  <si>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</si>
  <si>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</si>
  <si>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</si>
  <si>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</si>
  <si>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</si>
  <si>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</si>
  <si>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</si>
  <si>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</si>
  <si>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</si>
  <si>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</si>
  <si>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</si>
  <si>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</si>
  <si>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</si>
  <si>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</si>
  <si>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</si>
  <si>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</si>
  <si>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</si>
  <si>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</si>
  <si>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</si>
  <si>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</si>
  <si>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</si>
  <si>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</si>
  <si>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</si>
  <si>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</si>
  <si>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</si>
  <si>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</si>
  <si>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</si>
  <si>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</si>
  <si>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</si>
  <si>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</si>
  <si>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</si>
  <si>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</si>
  <si>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</si>
  <si>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</si>
  <si>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</si>
  <si>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</si>
  <si>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</si>
  <si>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</si>
  <si>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</si>
  <si>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</si>
  <si>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</si>
  <si>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</si>
  <si>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</si>
  <si>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</si>
  <si>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</si>
  <si>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</si>
  <si>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</si>
  <si>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</si>
  <si>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</si>
  <si>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</si>
  <si>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</si>
  <si>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</si>
  <si>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</si>
  <si>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</si>
  <si>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</si>
  <si>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</si>
  <si>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</si>
  <si>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</si>
  <si>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</si>
  <si>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</si>
  <si>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</si>
  <si>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</si>
  <si>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</si>
  <si>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</si>
  <si>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</si>
  <si>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</si>
  <si>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</si>
  <si>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</si>
  <si>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</si>
  <si>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</si>
  <si>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</si>
  <si>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</si>
  <si>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</si>
  <si>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</si>
  <si>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</si>
  <si>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</si>
  <si>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</si>
  <si>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</si>
  <si>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</si>
  <si>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</si>
  <si>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</si>
  <si>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</si>
  <si>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</si>
  <si>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</si>
  <si>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</si>
  <si>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</si>
  <si>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</si>
  <si>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</si>
  <si>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</si>
  <si>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</si>
  <si>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</si>
  <si>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</si>
  <si>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</si>
  <si>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"ЕНЕМОНА"АД, КОЗЛОДУЙ</t>
  </si>
  <si>
    <t xml:space="preserve"> НЕКОНСОЛИДИРАН</t>
  </si>
  <si>
    <t>,020955078</t>
  </si>
  <si>
    <t>1199-1</t>
  </si>
  <si>
    <t>1. Агро Инвест Инженеринг</t>
  </si>
  <si>
    <t>2. Енемона Ютилитис ЕАД</t>
  </si>
  <si>
    <t>3. ФЕЕИ АДСИЦ</t>
  </si>
  <si>
    <t>4. Пирин Пауър АД</t>
  </si>
  <si>
    <t>1. Тара Трейд Консулт АД</t>
  </si>
  <si>
    <t>5. Ресурс БГ ООД</t>
  </si>
  <si>
    <t>6. Ботуня Енерджи АД</t>
  </si>
  <si>
    <t>7. ФИНИ АДСИЦ</t>
  </si>
  <si>
    <t>8. Хемусгаз АД</t>
  </si>
  <si>
    <t>9. Еско инженеринг АД</t>
  </si>
  <si>
    <t>10. Солар Енерджи ООД</t>
  </si>
  <si>
    <t>11. НЕО АГРО ТЕХ АД</t>
  </si>
  <si>
    <t>12.ТФЕЦ Никопол ЕАД</t>
  </si>
  <si>
    <t>13. Енемона-Гълъбово АД</t>
  </si>
  <si>
    <t>14. Неврокоп-газ АД</t>
  </si>
  <si>
    <t>15.Емко АД</t>
  </si>
  <si>
    <t>2. Енемона Старт</t>
  </si>
  <si>
    <t>3. Енида Инженеринг АД</t>
  </si>
  <si>
    <t>4. СОФ ГЕО ЛИНТ 2006 ООД</t>
  </si>
  <si>
    <t>1. Алфа Енемона ООД</t>
  </si>
  <si>
    <t>2. Свиленград-газ АД</t>
  </si>
  <si>
    <t>01.01.2009-30.09.2009 година</t>
  </si>
  <si>
    <t xml:space="preserve">Дата на съставяне:                02.10.2009 г.                    </t>
  </si>
  <si>
    <t>Дата на съставяне:02.10.2009 г.</t>
  </si>
  <si>
    <t xml:space="preserve">Дата  на съставяне:     02.10.2009 г.                                                                                                              </t>
  </si>
  <si>
    <t xml:space="preserve">Дата на съставяне:           02.10.2009 г.       </t>
  </si>
  <si>
    <t>Дата на съставяне: 02.10.2009 г.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</si>
</sst>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6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5" fillId="0" borderId="0" xfId="62" applyFont="1" applyAlignment="1">
      <alignment horizontal="left"/>
      <protection/>
    </xf>
    <xf numFmtId="1" fontId="9" fillId="0" borderId="0" xfId="63" applyNumberFormat="1" applyFont="1" applyAlignment="1" applyProtection="1">
      <alignment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59" applyFont="1" applyAlignment="1" applyProtection="1" quotePrefix="1">
      <alignment vertical="center" wrapText="1"/>
      <protection locked="0"/>
    </xf>
    <xf numFmtId="49" fontId="11" fillId="0" borderId="0" xfId="59" applyNumberFormat="1" applyFont="1" applyAlignment="1" applyProtection="1" quotePrefix="1">
      <alignment vertical="center" wrapText="1"/>
      <protection locked="0"/>
    </xf>
    <xf numFmtId="3" fontId="11" fillId="0" borderId="10" xfId="66" applyNumberFormat="1" applyFont="1" applyFill="1" applyBorder="1" applyAlignment="1" applyProtection="1">
      <alignment vertical="center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R186"/>
  <sheetViews>
    <sheetView zoomScalePageLayoutView="0" workbookViewId="0" topLeftCell="B64">
      <selection activeCell="G62" sqref="G62:H7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863</v>
      </c>
      <c r="F3" s="217" t="s">
        <v>2</v>
      </c>
      <c r="G3" s="172"/>
      <c r="H3" s="461" t="s">
        <v>865</v>
      </c>
    </row>
    <row r="4" spans="1:8" ht="15">
      <c r="A4" s="581" t="s">
        <v>3</v>
      </c>
      <c r="B4" s="587"/>
      <c r="C4" s="587"/>
      <c r="D4" s="587"/>
      <c r="E4" s="504" t="s">
        <v>864</v>
      </c>
      <c r="F4" s="583" t="s">
        <v>4</v>
      </c>
      <c r="G4" s="584"/>
      <c r="H4" s="461" t="s">
        <v>866</v>
      </c>
    </row>
    <row r="5" spans="1:8" ht="15">
      <c r="A5" s="581" t="s">
        <v>5</v>
      </c>
      <c r="B5" s="582"/>
      <c r="C5" s="582"/>
      <c r="D5" s="582"/>
      <c r="E5" s="505" t="s">
        <v>888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3035</v>
      </c>
      <c r="D11" s="151">
        <v>3064</v>
      </c>
      <c r="E11" s="237" t="s">
        <v>22</v>
      </c>
      <c r="F11" s="242" t="s">
        <v>23</v>
      </c>
      <c r="G11" s="152">
        <v>11934</v>
      </c>
      <c r="H11" s="152">
        <v>11934</v>
      </c>
    </row>
    <row r="12" spans="1:8" ht="15">
      <c r="A12" s="235" t="s">
        <v>24</v>
      </c>
      <c r="B12" s="241" t="s">
        <v>25</v>
      </c>
      <c r="C12" s="151">
        <v>9512</v>
      </c>
      <c r="D12" s="151">
        <v>9622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1840</v>
      </c>
      <c r="D13" s="151">
        <v>2272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5146</v>
      </c>
      <c r="D15" s="151">
        <v>8632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410</v>
      </c>
      <c r="D16" s="151">
        <v>457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4732</v>
      </c>
      <c r="D17" s="151">
        <v>2259</v>
      </c>
      <c r="E17" s="243" t="s">
        <v>46</v>
      </c>
      <c r="F17" s="245" t="s">
        <v>47</v>
      </c>
      <c r="G17" s="154">
        <f>G11+G14+G15+G16</f>
        <v>11934</v>
      </c>
      <c r="H17" s="154">
        <f>H11+H14+H15+H16</f>
        <v>11934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1410</v>
      </c>
      <c r="D18" s="151">
        <v>1885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26085</v>
      </c>
      <c r="D19" s="155">
        <f>SUM(D11:D18)</f>
        <v>28191</v>
      </c>
      <c r="E19" s="237" t="s">
        <v>53</v>
      </c>
      <c r="F19" s="242" t="s">
        <v>54</v>
      </c>
      <c r="G19" s="152">
        <v>31600</v>
      </c>
      <c r="H19" s="152">
        <v>31600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f>5626</f>
        <v>5626</v>
      </c>
      <c r="H20" s="158">
        <v>5626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18845</v>
      </c>
      <c r="H21" s="156">
        <f>SUM(H22:H24)</f>
        <v>9889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17621</v>
      </c>
      <c r="H22" s="152">
        <v>8665</v>
      </c>
    </row>
    <row r="23" spans="1:13" ht="15">
      <c r="A23" s="235" t="s">
        <v>66</v>
      </c>
      <c r="B23" s="241" t="s">
        <v>67</v>
      </c>
      <c r="C23" s="151">
        <v>748</v>
      </c>
      <c r="D23" s="151">
        <v>794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128</v>
      </c>
      <c r="D24" s="151">
        <v>156</v>
      </c>
      <c r="E24" s="237" t="s">
        <v>72</v>
      </c>
      <c r="F24" s="242" t="s">
        <v>73</v>
      </c>
      <c r="G24" s="152">
        <v>1224</v>
      </c>
      <c r="H24" s="152">
        <v>1224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56071</v>
      </c>
      <c r="H25" s="154">
        <f>H19+H20+H21</f>
        <v>47115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876</v>
      </c>
      <c r="D27" s="155">
        <f>SUM(D23:D26)</f>
        <v>950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6399</v>
      </c>
      <c r="H31" s="152">
        <v>9612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6399</v>
      </c>
      <c r="H33" s="154">
        <f>H27+H31+H32</f>
        <v>9612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20513</v>
      </c>
      <c r="D34" s="155">
        <f>SUM(D35:D38)</f>
        <v>20502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19907</v>
      </c>
      <c r="D35" s="151">
        <v>19896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74404</v>
      </c>
      <c r="H36" s="154">
        <f>H25+H17+H33</f>
        <v>68661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592</v>
      </c>
      <c r="D37" s="151">
        <v>592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14</v>
      </c>
      <c r="D38" s="151">
        <v>14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2428</v>
      </c>
      <c r="H43" s="152">
        <v>6310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207</v>
      </c>
      <c r="H44" s="152">
        <v>333</v>
      </c>
    </row>
    <row r="45" spans="1:15" ht="15">
      <c r="A45" s="235" t="s">
        <v>136</v>
      </c>
      <c r="B45" s="249" t="s">
        <v>137</v>
      </c>
      <c r="C45" s="155">
        <f>C34+C39+C44</f>
        <v>20513</v>
      </c>
      <c r="D45" s="155">
        <f>D34+D39+D44</f>
        <v>20502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23</v>
      </c>
      <c r="D47" s="151">
        <v>1962</v>
      </c>
      <c r="E47" s="251" t="s">
        <v>145</v>
      </c>
      <c r="F47" s="242" t="s">
        <v>146</v>
      </c>
      <c r="G47" s="152">
        <v>11511</v>
      </c>
      <c r="H47" s="152">
        <v>12011</v>
      </c>
      <c r="M47" s="157"/>
    </row>
    <row r="48" spans="1:8" ht="15">
      <c r="A48" s="235" t="s">
        <v>147</v>
      </c>
      <c r="B48" s="244" t="s">
        <v>148</v>
      </c>
      <c r="C48" s="151">
        <v>2409</v>
      </c>
      <c r="D48" s="151">
        <v>587</v>
      </c>
      <c r="E48" s="237" t="s">
        <v>149</v>
      </c>
      <c r="F48" s="242" t="s">
        <v>150</v>
      </c>
      <c r="G48" s="152">
        <v>1905</v>
      </c>
      <c r="H48" s="152">
        <v>3433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16051</v>
      </c>
      <c r="H49" s="154">
        <f>SUM(H43:H48)</f>
        <v>22087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2679</v>
      </c>
      <c r="D50" s="151">
        <v>2920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5111</v>
      </c>
      <c r="D51" s="155">
        <f>SUM(D47:D50)</f>
        <v>5469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27</v>
      </c>
      <c r="H53" s="152">
        <v>27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>
        <v>27</v>
      </c>
      <c r="H54" s="152">
        <v>27</v>
      </c>
    </row>
    <row r="55" spans="1:18" ht="25.5">
      <c r="A55" s="269" t="s">
        <v>170</v>
      </c>
      <c r="B55" s="270" t="s">
        <v>171</v>
      </c>
      <c r="C55" s="155">
        <f>C19+C20+C21+C27+C32+C45+C51+C53+C54</f>
        <v>52585</v>
      </c>
      <c r="D55" s="155">
        <f>D19+D20+D21+D27+D32+D45+D51+D53+D54</f>
        <v>55112</v>
      </c>
      <c r="E55" s="237" t="s">
        <v>172</v>
      </c>
      <c r="F55" s="261" t="s">
        <v>173</v>
      </c>
      <c r="G55" s="154">
        <f>G49+G51+G52+G53+G54</f>
        <v>16105</v>
      </c>
      <c r="H55" s="154">
        <f>H49+H51+H52+H53+H54</f>
        <v>22141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15406</v>
      </c>
      <c r="D58" s="151">
        <v>16589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27400</v>
      </c>
      <c r="H59" s="152">
        <v>24798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1054</v>
      </c>
      <c r="H60" s="152">
        <v>2682</v>
      </c>
    </row>
    <row r="61" spans="1:18" ht="15">
      <c r="A61" s="235" t="s">
        <v>187</v>
      </c>
      <c r="B61" s="244" t="s">
        <v>188</v>
      </c>
      <c r="C61" s="151">
        <v>20904</v>
      </c>
      <c r="D61" s="151">
        <v>19880</v>
      </c>
      <c r="E61" s="243" t="s">
        <v>189</v>
      </c>
      <c r="F61" s="272" t="s">
        <v>190</v>
      </c>
      <c r="G61" s="154">
        <f>SUM(G62:G68)</f>
        <v>22921</v>
      </c>
      <c r="H61" s="154">
        <f>SUM(H62:H68)</f>
        <v>24570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506</v>
      </c>
      <c r="H62" s="152">
        <v>1771</v>
      </c>
    </row>
    <row r="63" spans="1:13" ht="15">
      <c r="A63" s="235" t="s">
        <v>195</v>
      </c>
      <c r="B63" s="241" t="s">
        <v>196</v>
      </c>
      <c r="C63" s="151">
        <v>605</v>
      </c>
      <c r="D63" s="151">
        <v>317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36915</v>
      </c>
      <c r="D64" s="155">
        <f>SUM(D58:D63)</f>
        <v>36786</v>
      </c>
      <c r="E64" s="237" t="s">
        <v>200</v>
      </c>
      <c r="F64" s="242" t="s">
        <v>201</v>
      </c>
      <c r="G64" s="152">
        <v>7661</v>
      </c>
      <c r="H64" s="152">
        <v>5896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11168</v>
      </c>
      <c r="H65" s="152">
        <v>11186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1691</v>
      </c>
      <c r="H66" s="152">
        <v>1928</v>
      </c>
    </row>
    <row r="67" spans="1:8" ht="15">
      <c r="A67" s="235" t="s">
        <v>207</v>
      </c>
      <c r="B67" s="241" t="s">
        <v>208</v>
      </c>
      <c r="C67" s="151">
        <v>2180</v>
      </c>
      <c r="D67" s="151">
        <v>1795</v>
      </c>
      <c r="E67" s="237" t="s">
        <v>209</v>
      </c>
      <c r="F67" s="242" t="s">
        <v>210</v>
      </c>
      <c r="G67" s="152">
        <v>650</v>
      </c>
      <c r="H67" s="152">
        <v>183</v>
      </c>
    </row>
    <row r="68" spans="1:8" ht="15">
      <c r="A68" s="235" t="s">
        <v>211</v>
      </c>
      <c r="B68" s="241" t="s">
        <v>212</v>
      </c>
      <c r="C68" s="151">
        <v>23035</v>
      </c>
      <c r="D68" s="151">
        <v>25453</v>
      </c>
      <c r="E68" s="237" t="s">
        <v>213</v>
      </c>
      <c r="F68" s="242" t="s">
        <v>214</v>
      </c>
      <c r="G68" s="152">
        <v>1245</v>
      </c>
      <c r="H68" s="152">
        <v>3606</v>
      </c>
    </row>
    <row r="69" spans="1:8" ht="15">
      <c r="A69" s="235" t="s">
        <v>215</v>
      </c>
      <c r="B69" s="241" t="s">
        <v>216</v>
      </c>
      <c r="C69" s="151">
        <v>5643</v>
      </c>
      <c r="D69" s="151">
        <v>3732</v>
      </c>
      <c r="E69" s="251" t="s">
        <v>78</v>
      </c>
      <c r="F69" s="242" t="s">
        <v>217</v>
      </c>
      <c r="G69" s="152">
        <v>2416</v>
      </c>
      <c r="H69" s="152">
        <v>1788</v>
      </c>
    </row>
    <row r="70" spans="1:8" ht="15">
      <c r="A70" s="235" t="s">
        <v>218</v>
      </c>
      <c r="B70" s="241" t="s">
        <v>219</v>
      </c>
      <c r="C70" s="151">
        <v>4153</v>
      </c>
      <c r="D70" s="151">
        <v>3741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3</v>
      </c>
      <c r="D71" s="151">
        <v>5</v>
      </c>
      <c r="E71" s="253" t="s">
        <v>46</v>
      </c>
      <c r="F71" s="273" t="s">
        <v>224</v>
      </c>
      <c r="G71" s="161">
        <f>G59+G60+G61+G69+G70</f>
        <v>53791</v>
      </c>
      <c r="H71" s="161">
        <f>H59+H60+H61+H69+H70</f>
        <v>53838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</v>
      </c>
      <c r="D72" s="151">
        <v>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10188</v>
      </c>
      <c r="D74" s="151">
        <v>2874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45203</v>
      </c>
      <c r="D75" s="155">
        <f>SUM(D67:D74)</f>
        <v>37602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53791</v>
      </c>
      <c r="H79" s="162">
        <f>H71+H74+H75+H76</f>
        <v>53838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1285</v>
      </c>
      <c r="D87" s="151">
        <v>2217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8312</v>
      </c>
      <c r="D88" s="151">
        <v>12923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9597</v>
      </c>
      <c r="D91" s="155">
        <f>SUM(D87:D90)</f>
        <v>15140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91715</v>
      </c>
      <c r="D93" s="155">
        <f>D64+D75+D84+D91+D92</f>
        <v>89528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144300</v>
      </c>
      <c r="D94" s="164">
        <f>D93+D55</f>
        <v>144640</v>
      </c>
      <c r="E94" s="449" t="s">
        <v>270</v>
      </c>
      <c r="F94" s="289" t="s">
        <v>271</v>
      </c>
      <c r="G94" s="165">
        <f>G36+G39+G55+G79</f>
        <v>144300</v>
      </c>
      <c r="H94" s="165">
        <f>H36+H39+H55+H79</f>
        <v>144640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2:13" ht="15">
      <c r="B96" s="432"/>
      <c r="C96" s="150"/>
      <c r="D96" s="150"/>
      <c r="E96" s="433"/>
      <c r="F96" s="170"/>
      <c r="G96" s="171"/>
      <c r="H96" s="576">
        <f>+C94-G94</f>
        <v>0</v>
      </c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890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855</v>
      </c>
      <c r="D100" s="586"/>
      <c r="E100" s="586"/>
    </row>
    <row r="102" ht="12.75">
      <c r="E102" s="176"/>
    </row>
    <row r="104" ht="12.75">
      <c r="M104" s="157"/>
    </row>
    <row r="105" ht="15">
      <c r="A105" s="431" t="s">
        <v>850</v>
      </c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8" bottom="0.38" header="0.17" footer="0.17"/>
  <pageSetup fitToHeight="1000" horizontalDpi="300" verticalDpi="300" orientation="landscape" paperSize="9" scale="66" r:id="rId1"/>
  <headerFooter alignWithMargins="0">
    <oddHeader>&amp;R&amp;"Times New Roman Cyr,Regular"&amp;9СПРАВКА ПО ОБРАЗЕЦ  № 1</oddHeader>
  </headerFooter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R366"/>
  <sheetViews>
    <sheetView zoomScalePageLayoutView="0" workbookViewId="0" topLeftCell="A7">
      <selection activeCell="G19" sqref="G19:H23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"ЕНЕМОНА"АД, КОЗЛОДУЙ</v>
      </c>
      <c r="C2" s="590"/>
      <c r="D2" s="590"/>
      <c r="E2" s="590"/>
      <c r="F2" s="592" t="s">
        <v>2</v>
      </c>
      <c r="G2" s="592"/>
      <c r="H2" s="526" t="str">
        <f>'справка №1-БАЛАНС'!H3</f>
        <v>,020955078</v>
      </c>
    </row>
    <row r="3" spans="1:8" ht="15">
      <c r="A3" s="467" t="s">
        <v>275</v>
      </c>
      <c r="B3" s="590" t="str">
        <f>'справка №1-БАЛАНС'!E4</f>
        <v> НЕКОНСОЛИДИРАН</v>
      </c>
      <c r="C3" s="590"/>
      <c r="D3" s="590"/>
      <c r="E3" s="590"/>
      <c r="F3" s="546" t="s">
        <v>4</v>
      </c>
      <c r="G3" s="527"/>
      <c r="H3" s="527" t="str">
        <f>'справка №1-БАЛАНС'!H4</f>
        <v>1199-1</v>
      </c>
    </row>
    <row r="4" spans="1:8" ht="17.25" customHeight="1">
      <c r="A4" s="467" t="s">
        <v>5</v>
      </c>
      <c r="B4" s="591" t="str">
        <f>'справка №1-БАЛАНС'!E5</f>
        <v>01.01.2009-30.09.2009 година</v>
      </c>
      <c r="C4" s="591"/>
      <c r="D4" s="591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11516</v>
      </c>
      <c r="D9" s="46">
        <v>11975</v>
      </c>
      <c r="E9" s="298" t="s">
        <v>285</v>
      </c>
      <c r="F9" s="549" t="s">
        <v>286</v>
      </c>
      <c r="G9" s="550">
        <v>63818</v>
      </c>
      <c r="H9" s="550">
        <v>51660</v>
      </c>
    </row>
    <row r="10" spans="1:8" ht="12">
      <c r="A10" s="298" t="s">
        <v>287</v>
      </c>
      <c r="B10" s="299" t="s">
        <v>288</v>
      </c>
      <c r="C10" s="46">
        <v>29034</v>
      </c>
      <c r="D10" s="46">
        <v>27917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1430</v>
      </c>
      <c r="D11" s="46">
        <v>1299</v>
      </c>
      <c r="E11" s="300" t="s">
        <v>293</v>
      </c>
      <c r="F11" s="549" t="s">
        <v>294</v>
      </c>
      <c r="G11" s="550">
        <v>446</v>
      </c>
      <c r="H11" s="550">
        <v>971</v>
      </c>
    </row>
    <row r="12" spans="1:8" ht="12">
      <c r="A12" s="298" t="s">
        <v>295</v>
      </c>
      <c r="B12" s="299" t="s">
        <v>296</v>
      </c>
      <c r="C12" s="46">
        <v>12375</v>
      </c>
      <c r="D12" s="46">
        <v>5890</v>
      </c>
      <c r="E12" s="300" t="s">
        <v>78</v>
      </c>
      <c r="F12" s="549" t="s">
        <v>297</v>
      </c>
      <c r="G12" s="550">
        <v>5019</v>
      </c>
      <c r="H12" s="550">
        <v>4718</v>
      </c>
    </row>
    <row r="13" spans="1:18" ht="12">
      <c r="A13" s="298" t="s">
        <v>298</v>
      </c>
      <c r="B13" s="299" t="s">
        <v>299</v>
      </c>
      <c r="C13" s="46">
        <v>1400</v>
      </c>
      <c r="D13" s="46">
        <v>1235</v>
      </c>
      <c r="E13" s="301" t="s">
        <v>51</v>
      </c>
      <c r="F13" s="551" t="s">
        <v>300</v>
      </c>
      <c r="G13" s="548">
        <f>SUM(G9:G12)</f>
        <v>69283</v>
      </c>
      <c r="H13" s="548">
        <f>SUM(H9:H12)</f>
        <v>57349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2660</v>
      </c>
      <c r="D14" s="46">
        <v>1950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-2312</v>
      </c>
      <c r="D15" s="47">
        <v>-4370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3747</v>
      </c>
      <c r="D16" s="47">
        <v>3518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59850</v>
      </c>
      <c r="D19" s="49">
        <f>SUM(D9:D15)+D16</f>
        <v>49414</v>
      </c>
      <c r="E19" s="304" t="s">
        <v>317</v>
      </c>
      <c r="F19" s="552" t="s">
        <v>318</v>
      </c>
      <c r="G19" s="550">
        <v>1712</v>
      </c>
      <c r="H19" s="550">
        <v>2534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62</v>
      </c>
      <c r="H20" s="550">
        <v>1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175</v>
      </c>
      <c r="H21" s="550"/>
    </row>
    <row r="22" spans="1:8" ht="24">
      <c r="A22" s="304" t="s">
        <v>324</v>
      </c>
      <c r="B22" s="305" t="s">
        <v>325</v>
      </c>
      <c r="C22" s="46">
        <v>2217</v>
      </c>
      <c r="D22" s="46">
        <v>1988</v>
      </c>
      <c r="E22" s="304" t="s">
        <v>326</v>
      </c>
      <c r="F22" s="552" t="s">
        <v>327</v>
      </c>
      <c r="G22" s="550">
        <v>15</v>
      </c>
      <c r="H22" s="550">
        <v>456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14</v>
      </c>
      <c r="H23" s="550">
        <v>94</v>
      </c>
    </row>
    <row r="24" spans="1:18" ht="12">
      <c r="A24" s="298" t="s">
        <v>332</v>
      </c>
      <c r="B24" s="305" t="s">
        <v>333</v>
      </c>
      <c r="C24" s="46">
        <v>41</v>
      </c>
      <c r="D24" s="46">
        <v>131</v>
      </c>
      <c r="E24" s="301" t="s">
        <v>103</v>
      </c>
      <c r="F24" s="554" t="s">
        <v>334</v>
      </c>
      <c r="G24" s="548">
        <f>SUM(G19:G23)</f>
        <v>1978</v>
      </c>
      <c r="H24" s="548">
        <f>SUM(H19:H23)</f>
        <v>3085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2043</v>
      </c>
      <c r="D25" s="46">
        <v>2557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4301</v>
      </c>
      <c r="D26" s="49">
        <f>SUM(D22:D25)</f>
        <v>4676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64151</v>
      </c>
      <c r="D28" s="50">
        <f>D26+D19</f>
        <v>54090</v>
      </c>
      <c r="E28" s="127" t="s">
        <v>339</v>
      </c>
      <c r="F28" s="554" t="s">
        <v>340</v>
      </c>
      <c r="G28" s="548">
        <f>G13+G15+G24</f>
        <v>71261</v>
      </c>
      <c r="H28" s="548">
        <f>H13+H15+H24</f>
        <v>60434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7110</v>
      </c>
      <c r="D30" s="50">
        <f>IF((H28-D28)&gt;0,H28-D28,0)</f>
        <v>6344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345</v>
      </c>
      <c r="C31" s="46"/>
      <c r="D31" s="46"/>
      <c r="E31" s="296" t="s">
        <v>854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>
        <v>1</v>
      </c>
    </row>
    <row r="33" spans="1:18" ht="12">
      <c r="A33" s="128" t="s">
        <v>351</v>
      </c>
      <c r="B33" s="306" t="s">
        <v>352</v>
      </c>
      <c r="C33" s="49">
        <f>C28+C31+C32</f>
        <v>64151</v>
      </c>
      <c r="D33" s="49">
        <f>D28+D31+D32</f>
        <v>54090</v>
      </c>
      <c r="E33" s="127" t="s">
        <v>353</v>
      </c>
      <c r="F33" s="554" t="s">
        <v>354</v>
      </c>
      <c r="G33" s="53">
        <f>G32+G31+G28</f>
        <v>71261</v>
      </c>
      <c r="H33" s="53">
        <f>H32+H31+H28</f>
        <v>60435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7110</v>
      </c>
      <c r="D34" s="50">
        <f>IF((H33-D33)&gt;0,H33-D33,0)</f>
        <v>6345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711</v>
      </c>
      <c r="D35" s="49">
        <f>D36+D37+D38</f>
        <v>635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711</v>
      </c>
      <c r="D36" s="46">
        <v>635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6399</v>
      </c>
      <c r="D39" s="460">
        <f>+IF((H33-D33-D35)&gt;0,H33-D33-D35,0)</f>
        <v>5710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6399</v>
      </c>
      <c r="D41" s="52">
        <f>IF(H39=0,IF(D39-D40&gt;0,D39-D40+H40,0),IF(H39-H40&lt;0,H40-H39+D39,0))</f>
        <v>5710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71261</v>
      </c>
      <c r="D42" s="53">
        <f>D33+D35+D39</f>
        <v>60435</v>
      </c>
      <c r="E42" s="128" t="s">
        <v>380</v>
      </c>
      <c r="F42" s="129" t="s">
        <v>381</v>
      </c>
      <c r="G42" s="53">
        <f>G39+G33</f>
        <v>71261</v>
      </c>
      <c r="H42" s="53">
        <f>H39+H33</f>
        <v>60435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3" t="s">
        <v>861</v>
      </c>
      <c r="B45" s="593"/>
      <c r="C45" s="593"/>
      <c r="D45" s="593"/>
      <c r="E45" s="59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7">
        <v>40088</v>
      </c>
      <c r="C48" s="427" t="s">
        <v>382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9"/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62" bottom="0.21" header="0.17" footer="0.16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M102"/>
  <sheetViews>
    <sheetView zoomScale="75" zoomScaleNormal="75" zoomScalePageLayoutView="0" workbookViewId="0" topLeftCell="A1">
      <selection activeCell="D44" sqref="D4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"ЕНЕМОНА"АД, КОЗЛОДУЙ</v>
      </c>
      <c r="C4" s="541" t="s">
        <v>2</v>
      </c>
      <c r="D4" s="541" t="str">
        <f>'справка №1-БАЛАНС'!H3</f>
        <v>,020955078</v>
      </c>
      <c r="E4" s="323"/>
      <c r="F4" s="323"/>
    </row>
    <row r="5" spans="1:4" ht="15">
      <c r="A5" s="470" t="s">
        <v>275</v>
      </c>
      <c r="B5" s="470" t="str">
        <f>'справка №1-БАЛАНС'!E4</f>
        <v> НЕКОНСОЛИДИРАН</v>
      </c>
      <c r="C5" s="542" t="s">
        <v>4</v>
      </c>
      <c r="D5" s="541" t="str">
        <f>'справка №1-БАЛАНС'!H4</f>
        <v>1199-1</v>
      </c>
    </row>
    <row r="6" spans="1:6" ht="12" customHeight="1">
      <c r="A6" s="471" t="s">
        <v>5</v>
      </c>
      <c r="B6" s="506" t="str">
        <f>'справка №1-БАЛАНС'!E5</f>
        <v>01.01.2009-30.09.2009 година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73629</v>
      </c>
      <c r="D10" s="54">
        <v>57519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-46117</v>
      </c>
      <c r="D11" s="54">
        <v>-53051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-12978</v>
      </c>
      <c r="D13" s="54">
        <v>-6811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-8563</v>
      </c>
      <c r="D14" s="54">
        <v>-1054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-1019</v>
      </c>
      <c r="D15" s="54">
        <v>-767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-251</v>
      </c>
      <c r="D16" s="54">
        <v>164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-499</v>
      </c>
      <c r="D17" s="54">
        <v>-115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-19</v>
      </c>
      <c r="D18" s="54">
        <v>389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-1965</v>
      </c>
      <c r="D19" s="54">
        <v>-1772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2218</v>
      </c>
      <c r="D20" s="55">
        <f>SUM(D10:D19)</f>
        <v>-5498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-303</v>
      </c>
      <c r="D22" s="54">
        <v>-5702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16246</v>
      </c>
      <c r="D24" s="54">
        <v>-11139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-15330</v>
      </c>
      <c r="D25" s="54">
        <v>-7073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-4322</v>
      </c>
      <c r="D27" s="54">
        <v>-6511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>
        <v>3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>
        <v>1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-3709</v>
      </c>
      <c r="D32" s="55">
        <f>SUM(D22:D31)</f>
        <v>-30421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3062</v>
      </c>
      <c r="D36" s="54">
        <v>33251</v>
      </c>
      <c r="E36" s="130"/>
      <c r="F36" s="130"/>
    </row>
    <row r="37" spans="1:6" ht="12">
      <c r="A37" s="332" t="s">
        <v>438</v>
      </c>
      <c r="B37" s="333" t="s">
        <v>439</v>
      </c>
      <c r="C37" s="54">
        <v>-2597</v>
      </c>
      <c r="D37" s="54">
        <v>-17287</v>
      </c>
      <c r="E37" s="130"/>
      <c r="F37" s="130"/>
    </row>
    <row r="38" spans="1:6" ht="12">
      <c r="A38" s="332" t="s">
        <v>440</v>
      </c>
      <c r="B38" s="333" t="s">
        <v>441</v>
      </c>
      <c r="C38" s="54">
        <v>-3329</v>
      </c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-153</v>
      </c>
      <c r="D39" s="54">
        <v>-894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-1035</v>
      </c>
      <c r="D41" s="54">
        <v>-1428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-4052</v>
      </c>
      <c r="D42" s="55">
        <f>SUM(D34:D41)</f>
        <v>13642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-5543</v>
      </c>
      <c r="D43" s="55">
        <f>D42+D32+D20</f>
        <v>-22277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15140</v>
      </c>
      <c r="D44" s="132">
        <v>29875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9597</v>
      </c>
      <c r="D45" s="55">
        <f>D44+D43</f>
        <v>7598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9597</v>
      </c>
      <c r="D46" s="56">
        <v>7598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4"/>
      <c r="D50" s="59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4"/>
      <c r="D52" s="59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6" bottom="0.25" header="0.17" footer="0.16"/>
  <pageSetup horizontalDpi="600" verticalDpi="600" orientation="landscape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W537"/>
  <sheetViews>
    <sheetView zoomScalePageLayoutView="0" workbookViewId="0" topLeftCell="A6">
      <selection activeCell="F19" sqref="F19:I1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5" t="s">
        <v>460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7" t="str">
        <f>'справка №1-БАЛАНС'!E3</f>
        <v>"ЕНЕМОНА"АД, КОЗЛОДУЙ</v>
      </c>
      <c r="C3" s="597"/>
      <c r="D3" s="597"/>
      <c r="E3" s="597"/>
      <c r="F3" s="597"/>
      <c r="G3" s="597"/>
      <c r="H3" s="597"/>
      <c r="I3" s="597"/>
      <c r="J3" s="476"/>
      <c r="K3" s="599" t="s">
        <v>2</v>
      </c>
      <c r="L3" s="599"/>
      <c r="M3" s="478" t="str">
        <f>'справка №1-БАЛАНС'!H3</f>
        <v>,020955078</v>
      </c>
      <c r="N3" s="2"/>
    </row>
    <row r="4" spans="1:15" s="532" customFormat="1" ht="13.5" customHeight="1">
      <c r="A4" s="467" t="s">
        <v>461</v>
      </c>
      <c r="B4" s="597" t="str">
        <f>'справка №1-БАЛАНС'!E4</f>
        <v> НЕКОНСОЛИДИРАН</v>
      </c>
      <c r="C4" s="597"/>
      <c r="D4" s="597"/>
      <c r="E4" s="597"/>
      <c r="F4" s="597"/>
      <c r="G4" s="597"/>
      <c r="H4" s="597"/>
      <c r="I4" s="597"/>
      <c r="J4" s="136"/>
      <c r="K4" s="600" t="s">
        <v>4</v>
      </c>
      <c r="L4" s="600"/>
      <c r="M4" s="478" t="str">
        <f>'справка №1-БАЛАНС'!H4</f>
        <v>1199-1</v>
      </c>
      <c r="N4" s="3"/>
      <c r="O4" s="3"/>
    </row>
    <row r="5" spans="1:14" s="532" customFormat="1" ht="12.75" customHeight="1">
      <c r="A5" s="467" t="s">
        <v>5</v>
      </c>
      <c r="B5" s="601" t="str">
        <f>'справка №1-БАЛАНС'!E5</f>
        <v>01.01.2009-30.09.2009 година</v>
      </c>
      <c r="C5" s="601"/>
      <c r="D5" s="601"/>
      <c r="E5" s="601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11934</v>
      </c>
      <c r="D11" s="58">
        <f>'справка №1-БАЛАНС'!H19</f>
        <v>31600</v>
      </c>
      <c r="E11" s="58">
        <f>'справка №1-БАЛАНС'!H20</f>
        <v>5626</v>
      </c>
      <c r="F11" s="58">
        <f>'справка №1-БАЛАНС'!H22</f>
        <v>8665</v>
      </c>
      <c r="G11" s="58">
        <f>'справка №1-БАЛАНС'!H23</f>
        <v>0</v>
      </c>
      <c r="H11" s="580">
        <f>'справка №1-БАЛАНС'!H24</f>
        <v>1224</v>
      </c>
      <c r="I11" s="58">
        <f>'справка №1-БАЛАНС'!H28+'справка №1-БАЛАНС'!H31</f>
        <v>9612</v>
      </c>
      <c r="J11" s="58">
        <f>'справка №1-БАЛАНС'!H29+'справка №1-БАЛАНС'!H32</f>
        <v>0</v>
      </c>
      <c r="K11" s="60"/>
      <c r="L11" s="344">
        <f>SUM(C11:K11)</f>
        <v>68661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11934</v>
      </c>
      <c r="D15" s="61">
        <f aca="true" t="shared" si="2" ref="D15:M15">D11+D12</f>
        <v>31600</v>
      </c>
      <c r="E15" s="61">
        <f t="shared" si="2"/>
        <v>5626</v>
      </c>
      <c r="F15" s="61">
        <f t="shared" si="2"/>
        <v>8665</v>
      </c>
      <c r="G15" s="61">
        <f t="shared" si="2"/>
        <v>0</v>
      </c>
      <c r="H15" s="61">
        <f t="shared" si="2"/>
        <v>1224</v>
      </c>
      <c r="I15" s="61">
        <f t="shared" si="2"/>
        <v>9612</v>
      </c>
      <c r="J15" s="61">
        <f t="shared" si="2"/>
        <v>0</v>
      </c>
      <c r="K15" s="61">
        <f t="shared" si="2"/>
        <v>0</v>
      </c>
      <c r="L15" s="344">
        <f t="shared" si="1"/>
        <v>68661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6399</v>
      </c>
      <c r="J16" s="345">
        <f>+'справка №1-БАЛАНС'!G32</f>
        <v>0</v>
      </c>
      <c r="K16" s="60"/>
      <c r="L16" s="344">
        <f t="shared" si="1"/>
        <v>6399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8961</v>
      </c>
      <c r="G17" s="62">
        <f t="shared" si="3"/>
        <v>0</v>
      </c>
      <c r="H17" s="62">
        <f t="shared" si="3"/>
        <v>0</v>
      </c>
      <c r="I17" s="62">
        <f t="shared" si="3"/>
        <v>-9612</v>
      </c>
      <c r="J17" s="62">
        <f>J18+J19</f>
        <v>0</v>
      </c>
      <c r="K17" s="62">
        <f t="shared" si="3"/>
        <v>0</v>
      </c>
      <c r="L17" s="344">
        <f t="shared" si="1"/>
        <v>-651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>
        <v>8961</v>
      </c>
      <c r="G19" s="60"/>
      <c r="H19" s="60"/>
      <c r="I19" s="60">
        <v>-9612</v>
      </c>
      <c r="J19" s="60"/>
      <c r="K19" s="60"/>
      <c r="L19" s="344">
        <f t="shared" si="1"/>
        <v>-651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>
        <v>-5</v>
      </c>
      <c r="G28" s="60"/>
      <c r="H28" s="60"/>
      <c r="I28" s="60"/>
      <c r="J28" s="60"/>
      <c r="K28" s="60"/>
      <c r="L28" s="344">
        <f t="shared" si="1"/>
        <v>-5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11934</v>
      </c>
      <c r="D29" s="59">
        <f aca="true" t="shared" si="6" ref="D29:M29">D17+D20+D21+D24+D28+D27+D15+D16</f>
        <v>31600</v>
      </c>
      <c r="E29" s="59">
        <f t="shared" si="6"/>
        <v>5626</v>
      </c>
      <c r="F29" s="59">
        <f t="shared" si="6"/>
        <v>17621</v>
      </c>
      <c r="G29" s="59">
        <f t="shared" si="6"/>
        <v>0</v>
      </c>
      <c r="H29" s="59">
        <f t="shared" si="6"/>
        <v>1224</v>
      </c>
      <c r="I29" s="59">
        <f t="shared" si="6"/>
        <v>6399</v>
      </c>
      <c r="J29" s="59">
        <f t="shared" si="6"/>
        <v>0</v>
      </c>
      <c r="K29" s="59">
        <f t="shared" si="6"/>
        <v>0</v>
      </c>
      <c r="L29" s="344">
        <f t="shared" si="1"/>
        <v>74404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11934</v>
      </c>
      <c r="D32" s="59">
        <f t="shared" si="7"/>
        <v>31600</v>
      </c>
      <c r="E32" s="59">
        <f t="shared" si="7"/>
        <v>5626</v>
      </c>
      <c r="F32" s="59">
        <f t="shared" si="7"/>
        <v>17621</v>
      </c>
      <c r="G32" s="59">
        <f t="shared" si="7"/>
        <v>0</v>
      </c>
      <c r="H32" s="59">
        <f t="shared" si="7"/>
        <v>1224</v>
      </c>
      <c r="I32" s="59">
        <f t="shared" si="7"/>
        <v>6399</v>
      </c>
      <c r="J32" s="59">
        <f t="shared" si="7"/>
        <v>0</v>
      </c>
      <c r="K32" s="59">
        <f t="shared" si="7"/>
        <v>0</v>
      </c>
      <c r="L32" s="344">
        <f t="shared" si="1"/>
        <v>74404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8" t="s">
        <v>862</v>
      </c>
      <c r="B35" s="598"/>
      <c r="C35" s="598"/>
      <c r="D35" s="598"/>
      <c r="E35" s="598"/>
      <c r="F35" s="598"/>
      <c r="G35" s="598"/>
      <c r="H35" s="598"/>
      <c r="I35" s="598"/>
      <c r="J35" s="59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891</v>
      </c>
      <c r="B38" s="19"/>
      <c r="C38" s="15"/>
      <c r="D38" s="596" t="s">
        <v>522</v>
      </c>
      <c r="E38" s="596"/>
      <c r="F38" s="596"/>
      <c r="G38" s="596"/>
      <c r="H38" s="596"/>
      <c r="I38" s="596"/>
      <c r="J38" s="15" t="s">
        <v>857</v>
      </c>
      <c r="K38" s="15"/>
      <c r="L38" s="596"/>
      <c r="M38" s="596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AB232"/>
  <sheetViews>
    <sheetView zoomScale="75" zoomScaleNormal="75" zoomScalePageLayoutView="0" workbookViewId="0" topLeftCell="A1">
      <selection activeCell="K21" sqref="K21:M2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4" t="s">
        <v>384</v>
      </c>
      <c r="B2" s="615"/>
      <c r="C2" s="616" t="str">
        <f>'справка №1-БАЛАНС'!E3</f>
        <v>"ЕНЕМОНА"АД, КОЗЛОДУЙ</v>
      </c>
      <c r="D2" s="616"/>
      <c r="E2" s="616"/>
      <c r="F2" s="616"/>
      <c r="G2" s="616"/>
      <c r="H2" s="616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,020955078</v>
      </c>
      <c r="P2" s="483"/>
      <c r="Q2" s="483"/>
      <c r="R2" s="526"/>
    </row>
    <row r="3" spans="1:18" ht="15">
      <c r="A3" s="614" t="s">
        <v>5</v>
      </c>
      <c r="B3" s="615"/>
      <c r="C3" s="617" t="str">
        <f>'справка №1-БАЛАНС'!E5</f>
        <v>01.01.2009-30.09.2009 година</v>
      </c>
      <c r="D3" s="617"/>
      <c r="E3" s="617"/>
      <c r="F3" s="485"/>
      <c r="G3" s="485"/>
      <c r="H3" s="485"/>
      <c r="I3" s="485"/>
      <c r="J3" s="485"/>
      <c r="K3" s="485"/>
      <c r="L3" s="485"/>
      <c r="M3" s="606" t="s">
        <v>4</v>
      </c>
      <c r="N3" s="606"/>
      <c r="O3" s="482" t="str">
        <f>'справка №1-БАЛАНС'!H4</f>
        <v>1199-1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7" t="s">
        <v>464</v>
      </c>
      <c r="B5" s="608"/>
      <c r="C5" s="611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4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4" t="s">
        <v>530</v>
      </c>
      <c r="R5" s="604" t="s">
        <v>531</v>
      </c>
    </row>
    <row r="6" spans="1:18" s="100" customFormat="1" ht="48">
      <c r="A6" s="609"/>
      <c r="B6" s="610"/>
      <c r="C6" s="612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5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5"/>
      <c r="R6" s="605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3064</v>
      </c>
      <c r="E9" s="189">
        <v>0</v>
      </c>
      <c r="F9" s="189">
        <v>29</v>
      </c>
      <c r="G9" s="74">
        <f>D9+E9-F9</f>
        <v>3035</v>
      </c>
      <c r="H9" s="65"/>
      <c r="I9" s="65"/>
      <c r="J9" s="74">
        <f aca="true" t="shared" si="0" ref="J9:J25">G9+H9-I9</f>
        <v>3035</v>
      </c>
      <c r="K9" s="65">
        <v>0</v>
      </c>
      <c r="L9" s="65">
        <v>0</v>
      </c>
      <c r="M9" s="65"/>
      <c r="N9" s="74">
        <f>K9+L9-M9</f>
        <v>0</v>
      </c>
      <c r="O9" s="65"/>
      <c r="P9" s="65"/>
      <c r="Q9" s="74">
        <f aca="true" t="shared" si="1" ref="Q9:Q15">N9+O9-P9</f>
        <v>0</v>
      </c>
      <c r="R9" s="74">
        <f aca="true" t="shared" si="2" ref="R9:R15">J9-Q9</f>
        <v>3035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10960</v>
      </c>
      <c r="E10" s="189">
        <v>55</v>
      </c>
      <c r="F10" s="189"/>
      <c r="G10" s="74">
        <f aca="true" t="shared" si="3" ref="G10:G39">D10+E10-F10</f>
        <v>11015</v>
      </c>
      <c r="H10" s="65"/>
      <c r="I10" s="65"/>
      <c r="J10" s="74">
        <f t="shared" si="0"/>
        <v>11015</v>
      </c>
      <c r="K10" s="65">
        <v>1338</v>
      </c>
      <c r="L10" s="65">
        <v>165</v>
      </c>
      <c r="M10" s="65"/>
      <c r="N10" s="74">
        <f aca="true" t="shared" si="4" ref="N10:N39">K10+L10-M10</f>
        <v>1503</v>
      </c>
      <c r="O10" s="65"/>
      <c r="P10" s="65"/>
      <c r="Q10" s="74">
        <f t="shared" si="1"/>
        <v>1503</v>
      </c>
      <c r="R10" s="74">
        <f t="shared" si="2"/>
        <v>9512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4133</v>
      </c>
      <c r="E11" s="189">
        <v>156</v>
      </c>
      <c r="F11" s="189">
        <v>299</v>
      </c>
      <c r="G11" s="74">
        <f t="shared" si="3"/>
        <v>3990</v>
      </c>
      <c r="H11" s="65"/>
      <c r="I11" s="65"/>
      <c r="J11" s="74">
        <f t="shared" si="0"/>
        <v>3990</v>
      </c>
      <c r="K11" s="65">
        <v>1861</v>
      </c>
      <c r="L11" s="65">
        <v>402</v>
      </c>
      <c r="M11" s="65">
        <v>113</v>
      </c>
      <c r="N11" s="74">
        <f t="shared" si="4"/>
        <v>2150</v>
      </c>
      <c r="O11" s="65"/>
      <c r="P11" s="65"/>
      <c r="Q11" s="74">
        <f t="shared" si="1"/>
        <v>2150</v>
      </c>
      <c r="R11" s="74">
        <f t="shared" si="2"/>
        <v>1840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/>
      <c r="F12" s="189"/>
      <c r="G12" s="74">
        <f t="shared" si="3"/>
        <v>0</v>
      </c>
      <c r="H12" s="65"/>
      <c r="I12" s="65"/>
      <c r="J12" s="74">
        <f t="shared" si="0"/>
        <v>0</v>
      </c>
      <c r="K12" s="65">
        <v>0</v>
      </c>
      <c r="L12" s="65">
        <v>0</v>
      </c>
      <c r="M12" s="65"/>
      <c r="N12" s="74">
        <f t="shared" si="4"/>
        <v>0</v>
      </c>
      <c r="O12" s="65"/>
      <c r="P12" s="65"/>
      <c r="Q12" s="74">
        <f t="shared" si="1"/>
        <v>0</v>
      </c>
      <c r="R12" s="74">
        <f t="shared" si="2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10536</v>
      </c>
      <c r="E13" s="189">
        <v>183</v>
      </c>
      <c r="F13" s="189">
        <v>3804</v>
      </c>
      <c r="G13" s="74">
        <f t="shared" si="3"/>
        <v>6915</v>
      </c>
      <c r="H13" s="65"/>
      <c r="I13" s="65"/>
      <c r="J13" s="74">
        <f t="shared" si="0"/>
        <v>6915</v>
      </c>
      <c r="K13" s="65">
        <v>1904</v>
      </c>
      <c r="L13" s="65">
        <v>510</v>
      </c>
      <c r="M13" s="65">
        <v>645</v>
      </c>
      <c r="N13" s="74">
        <f t="shared" si="4"/>
        <v>1769</v>
      </c>
      <c r="O13" s="65"/>
      <c r="P13" s="65"/>
      <c r="Q13" s="74">
        <f t="shared" si="1"/>
        <v>1769</v>
      </c>
      <c r="R13" s="74">
        <f t="shared" si="2"/>
        <v>5146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753</v>
      </c>
      <c r="E14" s="189">
        <v>37</v>
      </c>
      <c r="F14" s="189">
        <v>56</v>
      </c>
      <c r="G14" s="74">
        <f t="shared" si="3"/>
        <v>734</v>
      </c>
      <c r="H14" s="65"/>
      <c r="I14" s="65"/>
      <c r="J14" s="74">
        <f t="shared" si="0"/>
        <v>734</v>
      </c>
      <c r="K14" s="65">
        <v>296</v>
      </c>
      <c r="L14" s="65">
        <v>45</v>
      </c>
      <c r="M14" s="65">
        <v>17</v>
      </c>
      <c r="N14" s="74">
        <f t="shared" si="4"/>
        <v>324</v>
      </c>
      <c r="O14" s="65"/>
      <c r="P14" s="65"/>
      <c r="Q14" s="74">
        <f t="shared" si="1"/>
        <v>324</v>
      </c>
      <c r="R14" s="74">
        <f t="shared" si="2"/>
        <v>410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2259</v>
      </c>
      <c r="E15" s="457">
        <v>3069</v>
      </c>
      <c r="F15" s="457">
        <v>596</v>
      </c>
      <c r="G15" s="74">
        <f t="shared" si="3"/>
        <v>4732</v>
      </c>
      <c r="H15" s="458"/>
      <c r="I15" s="458"/>
      <c r="J15" s="74">
        <f t="shared" si="0"/>
        <v>4732</v>
      </c>
      <c r="K15" s="458">
        <v>0</v>
      </c>
      <c r="L15" s="458"/>
      <c r="M15" s="458"/>
      <c r="N15" s="74">
        <f t="shared" si="4"/>
        <v>0</v>
      </c>
      <c r="O15" s="458"/>
      <c r="P15" s="458"/>
      <c r="Q15" s="74">
        <f t="shared" si="1"/>
        <v>0</v>
      </c>
      <c r="R15" s="74">
        <f t="shared" si="2"/>
        <v>4732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2692</v>
      </c>
      <c r="E16" s="189">
        <v>88</v>
      </c>
      <c r="F16" s="189">
        <v>451</v>
      </c>
      <c r="G16" s="74">
        <f t="shared" si="3"/>
        <v>2329</v>
      </c>
      <c r="H16" s="65"/>
      <c r="I16" s="65"/>
      <c r="J16" s="74">
        <f t="shared" si="0"/>
        <v>2329</v>
      </c>
      <c r="K16" s="65">
        <v>807</v>
      </c>
      <c r="L16" s="65">
        <v>233</v>
      </c>
      <c r="M16" s="65">
        <v>121</v>
      </c>
      <c r="N16" s="74">
        <f t="shared" si="4"/>
        <v>919</v>
      </c>
      <c r="O16" s="65"/>
      <c r="P16" s="65"/>
      <c r="Q16" s="74">
        <f aca="true" t="shared" si="5" ref="Q16:Q25">N16+O16-P16</f>
        <v>919</v>
      </c>
      <c r="R16" s="74">
        <f aca="true" t="shared" si="6" ref="R16:R25">J16-Q16</f>
        <v>1410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34397</v>
      </c>
      <c r="E17" s="194">
        <f>SUM(E9:E16)</f>
        <v>3588</v>
      </c>
      <c r="F17" s="194">
        <f>SUM(F9:F16)</f>
        <v>5235</v>
      </c>
      <c r="G17" s="74">
        <f t="shared" si="3"/>
        <v>32750</v>
      </c>
      <c r="H17" s="75">
        <f>SUM(H9:H16)</f>
        <v>0</v>
      </c>
      <c r="I17" s="75">
        <f>SUM(I9:I16)</f>
        <v>0</v>
      </c>
      <c r="J17" s="74">
        <f t="shared" si="0"/>
        <v>32750</v>
      </c>
      <c r="K17" s="75">
        <f>SUM(K9:K16)</f>
        <v>6206</v>
      </c>
      <c r="L17" s="75">
        <f>SUM(L9:L16)</f>
        <v>1355</v>
      </c>
      <c r="M17" s="75">
        <f>SUM(M9:M16)</f>
        <v>896</v>
      </c>
      <c r="N17" s="74">
        <f t="shared" si="4"/>
        <v>6665</v>
      </c>
      <c r="O17" s="75">
        <f>SUM(O9:O16)</f>
        <v>0</v>
      </c>
      <c r="P17" s="75">
        <f>SUM(P9:P16)</f>
        <v>0</v>
      </c>
      <c r="Q17" s="74">
        <f t="shared" si="5"/>
        <v>6665</v>
      </c>
      <c r="R17" s="74">
        <f t="shared" si="6"/>
        <v>26085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3"/>
        <v>0</v>
      </c>
      <c r="H18" s="63"/>
      <c r="I18" s="63"/>
      <c r="J18" s="74">
        <f t="shared" si="0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3"/>
        <v>0</v>
      </c>
      <c r="H19" s="63"/>
      <c r="I19" s="63"/>
      <c r="J19" s="74">
        <f t="shared" si="0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3"/>
        <v>0</v>
      </c>
      <c r="H20" s="64"/>
      <c r="I20" s="64"/>
      <c r="J20" s="74">
        <f t="shared" si="0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1437</v>
      </c>
      <c r="E21" s="189"/>
      <c r="F21" s="189"/>
      <c r="G21" s="74">
        <f t="shared" si="3"/>
        <v>1437</v>
      </c>
      <c r="H21" s="65"/>
      <c r="I21" s="65"/>
      <c r="J21" s="74">
        <f t="shared" si="0"/>
        <v>1437</v>
      </c>
      <c r="K21" s="65">
        <v>643</v>
      </c>
      <c r="L21" s="65">
        <v>46</v>
      </c>
      <c r="M21" s="65"/>
      <c r="N21" s="74">
        <f t="shared" si="4"/>
        <v>689</v>
      </c>
      <c r="O21" s="65"/>
      <c r="P21" s="65"/>
      <c r="Q21" s="74">
        <f t="shared" si="5"/>
        <v>689</v>
      </c>
      <c r="R21" s="74">
        <f t="shared" si="6"/>
        <v>748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311</v>
      </c>
      <c r="E22" s="189">
        <v>2</v>
      </c>
      <c r="F22" s="189"/>
      <c r="G22" s="74">
        <f t="shared" si="3"/>
        <v>313</v>
      </c>
      <c r="H22" s="65"/>
      <c r="I22" s="65"/>
      <c r="J22" s="74">
        <f t="shared" si="0"/>
        <v>313</v>
      </c>
      <c r="K22" s="65">
        <v>155</v>
      </c>
      <c r="L22" s="65">
        <v>30</v>
      </c>
      <c r="M22" s="65"/>
      <c r="N22" s="74">
        <f t="shared" si="4"/>
        <v>185</v>
      </c>
      <c r="O22" s="65"/>
      <c r="P22" s="65"/>
      <c r="Q22" s="74">
        <f t="shared" si="5"/>
        <v>185</v>
      </c>
      <c r="R22" s="74">
        <f t="shared" si="6"/>
        <v>128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0</v>
      </c>
      <c r="E23" s="189"/>
      <c r="F23" s="189"/>
      <c r="G23" s="74">
        <f t="shared" si="3"/>
        <v>0</v>
      </c>
      <c r="H23" s="65"/>
      <c r="I23" s="65"/>
      <c r="J23" s="74">
        <f t="shared" si="0"/>
        <v>0</v>
      </c>
      <c r="K23" s="65">
        <v>0</v>
      </c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0</v>
      </c>
      <c r="E24" s="189"/>
      <c r="F24" s="189"/>
      <c r="G24" s="74">
        <f t="shared" si="3"/>
        <v>0</v>
      </c>
      <c r="H24" s="65"/>
      <c r="I24" s="65"/>
      <c r="J24" s="74">
        <f t="shared" si="0"/>
        <v>0</v>
      </c>
      <c r="K24" s="65">
        <v>0</v>
      </c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583</v>
      </c>
      <c r="D25" s="190">
        <f>SUM(D21:D24)</f>
        <v>1748</v>
      </c>
      <c r="E25" s="190">
        <f aca="true" t="shared" si="7" ref="E25:P25">SUM(E21:E24)</f>
        <v>2</v>
      </c>
      <c r="F25" s="190">
        <f t="shared" si="7"/>
        <v>0</v>
      </c>
      <c r="G25" s="67">
        <f t="shared" si="3"/>
        <v>1750</v>
      </c>
      <c r="H25" s="66">
        <f t="shared" si="7"/>
        <v>0</v>
      </c>
      <c r="I25" s="66">
        <f t="shared" si="7"/>
        <v>0</v>
      </c>
      <c r="J25" s="67">
        <f t="shared" si="0"/>
        <v>1750</v>
      </c>
      <c r="K25" s="66">
        <f t="shared" si="7"/>
        <v>798</v>
      </c>
      <c r="L25" s="66">
        <f t="shared" si="7"/>
        <v>76</v>
      </c>
      <c r="M25" s="66">
        <f t="shared" si="7"/>
        <v>0</v>
      </c>
      <c r="N25" s="67">
        <f t="shared" si="4"/>
        <v>874</v>
      </c>
      <c r="O25" s="66">
        <f t="shared" si="7"/>
        <v>0</v>
      </c>
      <c r="P25" s="66">
        <f t="shared" si="7"/>
        <v>0</v>
      </c>
      <c r="Q25" s="67">
        <f t="shared" si="5"/>
        <v>874</v>
      </c>
      <c r="R25" s="67">
        <f t="shared" si="6"/>
        <v>876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852</v>
      </c>
      <c r="C27" s="380" t="s">
        <v>586</v>
      </c>
      <c r="D27" s="192">
        <f>SUM(D28:D31)</f>
        <v>20502</v>
      </c>
      <c r="E27" s="192">
        <f aca="true" t="shared" si="8" ref="E27:P27">SUM(E28:E31)</f>
        <v>439</v>
      </c>
      <c r="F27" s="192">
        <f t="shared" si="8"/>
        <v>428</v>
      </c>
      <c r="G27" s="71">
        <f t="shared" si="3"/>
        <v>20513</v>
      </c>
      <c r="H27" s="70">
        <f t="shared" si="8"/>
        <v>0</v>
      </c>
      <c r="I27" s="70">
        <f t="shared" si="8"/>
        <v>0</v>
      </c>
      <c r="J27" s="71">
        <f aca="true" t="shared" si="9" ref="J27:J39">G27+H27-I27</f>
        <v>20513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20513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19896</v>
      </c>
      <c r="E28" s="189">
        <v>439</v>
      </c>
      <c r="F28" s="189">
        <v>428</v>
      </c>
      <c r="G28" s="74">
        <f t="shared" si="3"/>
        <v>19907</v>
      </c>
      <c r="H28" s="65"/>
      <c r="I28" s="65"/>
      <c r="J28" s="74">
        <f t="shared" si="9"/>
        <v>19907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10" ref="Q28:Q39">N28+O28-P28</f>
        <v>0</v>
      </c>
      <c r="R28" s="74">
        <f aca="true" t="shared" si="11" ref="R28:R39">J28-Q28</f>
        <v>19907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0</v>
      </c>
      <c r="E29" s="189"/>
      <c r="F29" s="189"/>
      <c r="G29" s="74">
        <f t="shared" si="3"/>
        <v>0</v>
      </c>
      <c r="H29" s="72"/>
      <c r="I29" s="72"/>
      <c r="J29" s="74">
        <f t="shared" si="9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10"/>
        <v>0</v>
      </c>
      <c r="R29" s="74">
        <f t="shared" si="11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592</v>
      </c>
      <c r="E30" s="189"/>
      <c r="F30" s="189"/>
      <c r="G30" s="74">
        <f t="shared" si="3"/>
        <v>592</v>
      </c>
      <c r="H30" s="72"/>
      <c r="I30" s="72"/>
      <c r="J30" s="74">
        <f t="shared" si="9"/>
        <v>592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10"/>
        <v>0</v>
      </c>
      <c r="R30" s="74">
        <f t="shared" si="11"/>
        <v>592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14</v>
      </c>
      <c r="E31" s="189"/>
      <c r="F31" s="189"/>
      <c r="G31" s="74">
        <f t="shared" si="3"/>
        <v>14</v>
      </c>
      <c r="H31" s="72"/>
      <c r="I31" s="72"/>
      <c r="J31" s="74">
        <f t="shared" si="9"/>
        <v>14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10"/>
        <v>0</v>
      </c>
      <c r="R31" s="74">
        <f t="shared" si="11"/>
        <v>14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2" ref="E32:P32">SUM(E33:E36)</f>
        <v>0</v>
      </c>
      <c r="F32" s="193">
        <f t="shared" si="12"/>
        <v>0</v>
      </c>
      <c r="G32" s="74">
        <f t="shared" si="3"/>
        <v>0</v>
      </c>
      <c r="H32" s="73">
        <f t="shared" si="12"/>
        <v>0</v>
      </c>
      <c r="I32" s="73">
        <f t="shared" si="12"/>
        <v>0</v>
      </c>
      <c r="J32" s="74">
        <f t="shared" si="9"/>
        <v>0</v>
      </c>
      <c r="K32" s="73">
        <f t="shared" si="12"/>
        <v>0</v>
      </c>
      <c r="L32" s="73">
        <f t="shared" si="12"/>
        <v>0</v>
      </c>
      <c r="M32" s="73">
        <f t="shared" si="12"/>
        <v>0</v>
      </c>
      <c r="N32" s="74">
        <f t="shared" si="4"/>
        <v>0</v>
      </c>
      <c r="O32" s="73">
        <f t="shared" si="12"/>
        <v>0</v>
      </c>
      <c r="P32" s="73">
        <f t="shared" si="12"/>
        <v>0</v>
      </c>
      <c r="Q32" s="74">
        <f t="shared" si="10"/>
        <v>0</v>
      </c>
      <c r="R32" s="74">
        <f t="shared" si="11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3"/>
        <v>0</v>
      </c>
      <c r="H33" s="72"/>
      <c r="I33" s="72"/>
      <c r="J33" s="74">
        <f t="shared" si="9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10"/>
        <v>0</v>
      </c>
      <c r="R33" s="74">
        <f t="shared" si="11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3"/>
        <v>0</v>
      </c>
      <c r="H34" s="72"/>
      <c r="I34" s="72"/>
      <c r="J34" s="74">
        <f t="shared" si="9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10"/>
        <v>0</v>
      </c>
      <c r="R34" s="74">
        <f t="shared" si="11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3"/>
        <v>0</v>
      </c>
      <c r="H35" s="72"/>
      <c r="I35" s="72"/>
      <c r="J35" s="74">
        <f t="shared" si="9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10"/>
        <v>0</v>
      </c>
      <c r="R35" s="74">
        <f t="shared" si="11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3"/>
        <v>0</v>
      </c>
      <c r="H36" s="72"/>
      <c r="I36" s="72"/>
      <c r="J36" s="74">
        <f t="shared" si="9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10"/>
        <v>0</v>
      </c>
      <c r="R36" s="74">
        <f t="shared" si="11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3"/>
        <v>0</v>
      </c>
      <c r="H37" s="72"/>
      <c r="I37" s="72"/>
      <c r="J37" s="74">
        <f t="shared" si="9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10"/>
        <v>0</v>
      </c>
      <c r="R37" s="74">
        <f t="shared" si="11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602</v>
      </c>
      <c r="D38" s="194">
        <f>D27+D32+D37</f>
        <v>20502</v>
      </c>
      <c r="E38" s="194">
        <f aca="true" t="shared" si="13" ref="E38:P38">E27+E32+E37</f>
        <v>439</v>
      </c>
      <c r="F38" s="194">
        <f t="shared" si="13"/>
        <v>428</v>
      </c>
      <c r="G38" s="74">
        <f t="shared" si="3"/>
        <v>20513</v>
      </c>
      <c r="H38" s="75">
        <f t="shared" si="13"/>
        <v>0</v>
      </c>
      <c r="I38" s="75">
        <f t="shared" si="13"/>
        <v>0</v>
      </c>
      <c r="J38" s="74">
        <f t="shared" si="9"/>
        <v>20513</v>
      </c>
      <c r="K38" s="75">
        <f t="shared" si="13"/>
        <v>0</v>
      </c>
      <c r="L38" s="75">
        <f t="shared" si="13"/>
        <v>0</v>
      </c>
      <c r="M38" s="75">
        <f t="shared" si="13"/>
        <v>0</v>
      </c>
      <c r="N38" s="74">
        <f t="shared" si="4"/>
        <v>0</v>
      </c>
      <c r="O38" s="75">
        <f t="shared" si="13"/>
        <v>0</v>
      </c>
      <c r="P38" s="75">
        <f t="shared" si="13"/>
        <v>0</v>
      </c>
      <c r="Q38" s="74">
        <f t="shared" si="10"/>
        <v>0</v>
      </c>
      <c r="R38" s="74">
        <f t="shared" si="11"/>
        <v>20513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3"/>
        <v>0</v>
      </c>
      <c r="H39" s="572"/>
      <c r="I39" s="572"/>
      <c r="J39" s="74">
        <f t="shared" si="9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10"/>
        <v>0</v>
      </c>
      <c r="R39" s="74">
        <f t="shared" si="11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56647</v>
      </c>
      <c r="E40" s="438">
        <f>E17+E18+E19+E25+E38+E39</f>
        <v>4029</v>
      </c>
      <c r="F40" s="438">
        <f aca="true" t="shared" si="14" ref="F40:R40">F17+F18+F19+F25+F38+F39</f>
        <v>5663</v>
      </c>
      <c r="G40" s="438">
        <f t="shared" si="14"/>
        <v>55013</v>
      </c>
      <c r="H40" s="438">
        <f t="shared" si="14"/>
        <v>0</v>
      </c>
      <c r="I40" s="438">
        <f t="shared" si="14"/>
        <v>0</v>
      </c>
      <c r="J40" s="438">
        <f t="shared" si="14"/>
        <v>55013</v>
      </c>
      <c r="K40" s="438">
        <f t="shared" si="14"/>
        <v>7004</v>
      </c>
      <c r="L40" s="438">
        <f t="shared" si="14"/>
        <v>1431</v>
      </c>
      <c r="M40" s="438">
        <f t="shared" si="14"/>
        <v>896</v>
      </c>
      <c r="N40" s="438">
        <f t="shared" si="14"/>
        <v>7539</v>
      </c>
      <c r="O40" s="438">
        <f t="shared" si="14"/>
        <v>0</v>
      </c>
      <c r="P40" s="438">
        <f t="shared" si="14"/>
        <v>0</v>
      </c>
      <c r="Q40" s="438">
        <f t="shared" si="14"/>
        <v>7539</v>
      </c>
      <c r="R40" s="438">
        <f t="shared" si="14"/>
        <v>47474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892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3"/>
      <c r="L44" s="613"/>
      <c r="M44" s="613"/>
      <c r="N44" s="613"/>
      <c r="O44" s="602" t="s">
        <v>782</v>
      </c>
      <c r="P44" s="603"/>
      <c r="Q44" s="603"/>
      <c r="R44" s="603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1:AA115"/>
  <sheetViews>
    <sheetView zoomScalePageLayoutView="0" workbookViewId="0" topLeftCell="A73">
      <selection activeCell="C104" sqref="C10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1" t="s">
        <v>610</v>
      </c>
      <c r="B1" s="621"/>
      <c r="C1" s="621"/>
      <c r="D1" s="621"/>
      <c r="E1" s="621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4" t="str">
        <f>'справка №1-БАЛАНС'!E3</f>
        <v>"ЕНЕМОНА"АД, КОЗЛОДУЙ</v>
      </c>
      <c r="C3" s="625"/>
      <c r="D3" s="526" t="s">
        <v>2</v>
      </c>
      <c r="E3" s="107" t="str">
        <f>'справка №1-БАЛАНС'!H3</f>
        <v>,020955078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2" t="str">
        <f>'справка №1-БАЛАНС'!E5</f>
        <v>01.01.2009-30.09.2009 година</v>
      </c>
      <c r="C4" s="623"/>
      <c r="D4" s="527" t="s">
        <v>4</v>
      </c>
      <c r="E4" s="107" t="str">
        <f>'справка №1-БАЛАНС'!H4</f>
        <v>1199-1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23</v>
      </c>
      <c r="D11" s="119">
        <f>SUM(D12:D14)</f>
        <v>0</v>
      </c>
      <c r="E11" s="120">
        <f>SUM(E12:E14)</f>
        <v>23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23</v>
      </c>
      <c r="D12" s="108"/>
      <c r="E12" s="120">
        <f aca="true" t="shared" si="0" ref="E12:E42">C12-D12</f>
        <v>23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2409</v>
      </c>
      <c r="D15" s="108"/>
      <c r="E15" s="120">
        <f t="shared" si="0"/>
        <v>2409</v>
      </c>
      <c r="F15" s="106"/>
    </row>
    <row r="16" spans="1:15" ht="12">
      <c r="A16" s="396" t="s">
        <v>630</v>
      </c>
      <c r="B16" s="397" t="s">
        <v>631</v>
      </c>
      <c r="C16" s="119">
        <f>+C17+C18</f>
        <v>2679</v>
      </c>
      <c r="D16" s="119">
        <f>+D17+D18</f>
        <v>0</v>
      </c>
      <c r="E16" s="120">
        <f t="shared" si="0"/>
        <v>2679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2679</v>
      </c>
      <c r="D18" s="108"/>
      <c r="E18" s="120">
        <f t="shared" si="0"/>
        <v>2679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5111</v>
      </c>
      <c r="D19" s="104">
        <f>D11+D15+D16</f>
        <v>0</v>
      </c>
      <c r="E19" s="118">
        <f>E11+E15+E16</f>
        <v>5111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2180</v>
      </c>
      <c r="D24" s="119">
        <f>SUM(D25:D27)</f>
        <v>2180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417</v>
      </c>
      <c r="D25" s="108">
        <v>417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1763</v>
      </c>
      <c r="D26" s="108">
        <v>1763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23035</v>
      </c>
      <c r="D28" s="108">
        <v>23035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5643</v>
      </c>
      <c r="D29" s="108">
        <v>5643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4153</v>
      </c>
      <c r="D30" s="108">
        <v>4153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3</v>
      </c>
      <c r="D31" s="108">
        <v>3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</v>
      </c>
      <c r="D33" s="105">
        <f>SUM(D34:D37)</f>
        <v>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v>1</v>
      </c>
      <c r="D37" s="108">
        <v>1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10188</v>
      </c>
      <c r="D38" s="105">
        <f>SUM(D39:D42)</f>
        <v>10188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10188</v>
      </c>
      <c r="D42" s="108">
        <v>10188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45203</v>
      </c>
      <c r="D43" s="104">
        <f>D24+D28+D29+D31+D30+D32+D33+D38</f>
        <v>45203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50314</v>
      </c>
      <c r="D44" s="103">
        <f>D43+D21+D19+D9</f>
        <v>45203</v>
      </c>
      <c r="E44" s="118">
        <f>E43+E21+E19+E9</f>
        <v>5111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2428</v>
      </c>
      <c r="D52" s="103">
        <f>SUM(D53:D55)</f>
        <v>0</v>
      </c>
      <c r="E52" s="119">
        <f>C52-D52</f>
        <v>2428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>
        <v>2428</v>
      </c>
      <c r="D55" s="108"/>
      <c r="E55" s="119">
        <f t="shared" si="1"/>
        <v>2428</v>
      </c>
      <c r="F55" s="108"/>
    </row>
    <row r="56" spans="1:16" ht="24">
      <c r="A56" s="396" t="s">
        <v>695</v>
      </c>
      <c r="B56" s="397" t="s">
        <v>696</v>
      </c>
      <c r="C56" s="103">
        <f>C57+C59</f>
        <v>207</v>
      </c>
      <c r="D56" s="103">
        <f>D57+D59</f>
        <v>0</v>
      </c>
      <c r="E56" s="119">
        <f t="shared" si="1"/>
        <v>207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207</v>
      </c>
      <c r="D57" s="108"/>
      <c r="E57" s="119">
        <f t="shared" si="1"/>
        <v>207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11511</v>
      </c>
      <c r="D63" s="108"/>
      <c r="E63" s="119">
        <f t="shared" si="1"/>
        <v>11511</v>
      </c>
      <c r="F63" s="110"/>
    </row>
    <row r="64" spans="1:6" ht="12">
      <c r="A64" s="396" t="s">
        <v>708</v>
      </c>
      <c r="B64" s="397" t="s">
        <v>709</v>
      </c>
      <c r="C64" s="108">
        <v>1932</v>
      </c>
      <c r="D64" s="108"/>
      <c r="E64" s="119">
        <f t="shared" si="1"/>
        <v>1932</v>
      </c>
      <c r="F64" s="110"/>
    </row>
    <row r="65" spans="1:6" ht="12">
      <c r="A65" s="396" t="s">
        <v>710</v>
      </c>
      <c r="B65" s="397" t="s">
        <v>711</v>
      </c>
      <c r="C65" s="109">
        <v>1905</v>
      </c>
      <c r="D65" s="109"/>
      <c r="E65" s="119">
        <f t="shared" si="1"/>
        <v>1905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16078</v>
      </c>
      <c r="D66" s="103">
        <f>D52+D56+D61+D62+D63+D64</f>
        <v>0</v>
      </c>
      <c r="E66" s="119">
        <f t="shared" si="1"/>
        <v>16078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27</v>
      </c>
      <c r="D68" s="108"/>
      <c r="E68" s="119">
        <f t="shared" si="1"/>
        <v>27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506</v>
      </c>
      <c r="D71" s="105">
        <f>SUM(D72:D74)</f>
        <v>506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506</v>
      </c>
      <c r="D72" s="108">
        <v>506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0</v>
      </c>
      <c r="D74" s="108">
        <v>0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27400</v>
      </c>
      <c r="D75" s="103">
        <f>D76+D78</f>
        <v>27400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27400</v>
      </c>
      <c r="D76" s="108">
        <v>27400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1054</v>
      </c>
      <c r="D80" s="103">
        <f>SUM(D81:D84)</f>
        <v>1054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v>1054</v>
      </c>
      <c r="D84" s="108">
        <v>1054</v>
      </c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22415</v>
      </c>
      <c r="D85" s="104">
        <f>SUM(D86:D90)+D94</f>
        <v>22415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7661</v>
      </c>
      <c r="D87" s="108">
        <v>7661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11168</v>
      </c>
      <c r="D88" s="108">
        <v>11168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1691</v>
      </c>
      <c r="D89" s="108">
        <v>1691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1245</v>
      </c>
      <c r="D90" s="103">
        <f>SUM(D91:D93)</f>
        <v>1245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711</v>
      </c>
      <c r="D91" s="108">
        <v>711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283</v>
      </c>
      <c r="D92" s="108">
        <v>283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251</v>
      </c>
      <c r="D93" s="108">
        <v>251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650</v>
      </c>
      <c r="D94" s="108">
        <v>650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2416</v>
      </c>
      <c r="D95" s="108">
        <v>2416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53791</v>
      </c>
      <c r="D96" s="104">
        <f>D85+D80+D75+D71+D95</f>
        <v>53791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69896</v>
      </c>
      <c r="D97" s="104">
        <f>D96+D68+D66</f>
        <v>53791</v>
      </c>
      <c r="E97" s="104">
        <f>E96+E68+E66</f>
        <v>16105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747</v>
      </c>
      <c r="D104" s="108"/>
      <c r="E104" s="108"/>
      <c r="F104" s="125">
        <f>C104+D104-E104</f>
        <v>747</v>
      </c>
    </row>
    <row r="105" spans="1:16" ht="12">
      <c r="A105" s="412" t="s">
        <v>778</v>
      </c>
      <c r="B105" s="395" t="s">
        <v>779</v>
      </c>
      <c r="C105" s="103">
        <f>SUM(C102:C104)</f>
        <v>747</v>
      </c>
      <c r="D105" s="103">
        <f>SUM(D102:D104)</f>
        <v>0</v>
      </c>
      <c r="E105" s="103">
        <f>SUM(E102:E104)</f>
        <v>0</v>
      </c>
      <c r="F105" s="103">
        <f>SUM(F102:F104)</f>
        <v>747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0" t="s">
        <v>781</v>
      </c>
      <c r="B107" s="620"/>
      <c r="C107" s="620"/>
      <c r="D107" s="620"/>
      <c r="E107" s="620"/>
      <c r="F107" s="62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9" t="s">
        <v>893</v>
      </c>
      <c r="B109" s="619"/>
      <c r="C109" s="619" t="s">
        <v>382</v>
      </c>
      <c r="D109" s="619"/>
      <c r="E109" s="619"/>
      <c r="F109" s="619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8" t="s">
        <v>782</v>
      </c>
      <c r="D111" s="618"/>
      <c r="E111" s="618"/>
      <c r="F111" s="618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4" bottom="0.7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</sheetPr>
  <dimension ref="A1:P264"/>
  <sheetViews>
    <sheetView zoomScalePageLayoutView="0" workbookViewId="0" topLeftCell="A1">
      <selection activeCell="F16" sqref="F16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578"/>
      <c r="B2" s="579"/>
      <c r="C2" s="418"/>
      <c r="D2" s="421"/>
      <c r="E2" s="418"/>
      <c r="F2" s="418"/>
      <c r="G2" s="418"/>
      <c r="H2" s="416"/>
      <c r="I2" s="416"/>
    </row>
    <row r="3" spans="1:9" ht="12">
      <c r="A3" s="578"/>
      <c r="B3" s="579"/>
      <c r="C3" s="419"/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6" t="str">
        <f>'справка №1-БАЛАНС'!E3</f>
        <v>"ЕНЕМОНА"АД, КОЗЛОДУЙ</v>
      </c>
      <c r="C4" s="626"/>
      <c r="D4" s="626"/>
      <c r="E4" s="626"/>
      <c r="F4" s="626"/>
      <c r="G4" s="632" t="s">
        <v>2</v>
      </c>
      <c r="H4" s="632"/>
      <c r="I4" s="500" t="str">
        <f>'справка №1-БАЛАНС'!H3</f>
        <v>,020955078</v>
      </c>
    </row>
    <row r="5" spans="1:9" ht="15">
      <c r="A5" s="501" t="s">
        <v>5</v>
      </c>
      <c r="B5" s="627" t="str">
        <f>'справка №1-БАЛАНС'!E5</f>
        <v>01.01.2009-30.09.2009 година</v>
      </c>
      <c r="C5" s="627"/>
      <c r="D5" s="627"/>
      <c r="E5" s="627"/>
      <c r="F5" s="627"/>
      <c r="G5" s="630" t="s">
        <v>4</v>
      </c>
      <c r="H5" s="631"/>
      <c r="I5" s="500" t="str">
        <f>'справка №1-БАЛАНС'!H4</f>
        <v>1199-1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464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>
        <v>20510169</v>
      </c>
      <c r="D12" s="98"/>
      <c r="E12" s="98"/>
      <c r="F12" s="98">
        <v>20510</v>
      </c>
      <c r="G12" s="98"/>
      <c r="H12" s="98"/>
      <c r="I12" s="434">
        <f>F12+G12-H12</f>
        <v>20510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>
        <v>25</v>
      </c>
      <c r="D16" s="98"/>
      <c r="E16" s="98"/>
      <c r="F16" s="98">
        <v>3</v>
      </c>
      <c r="G16" s="98"/>
      <c r="H16" s="98"/>
      <c r="I16" s="434">
        <f t="shared" si="0"/>
        <v>3</v>
      </c>
    </row>
    <row r="17" spans="1:9" s="521" customFormat="1" ht="12">
      <c r="A17" s="91" t="s">
        <v>565</v>
      </c>
      <c r="B17" s="92" t="s">
        <v>801</v>
      </c>
      <c r="C17" s="85">
        <f aca="true" t="shared" si="1" ref="C17:H17">C12+C13+C15+C16</f>
        <v>20510194</v>
      </c>
      <c r="D17" s="85">
        <f t="shared" si="1"/>
        <v>0</v>
      </c>
      <c r="E17" s="85">
        <f t="shared" si="1"/>
        <v>0</v>
      </c>
      <c r="F17" s="85">
        <f t="shared" si="1"/>
        <v>20513</v>
      </c>
      <c r="G17" s="85">
        <f t="shared" si="1"/>
        <v>0</v>
      </c>
      <c r="H17" s="85">
        <f t="shared" si="1"/>
        <v>0</v>
      </c>
      <c r="I17" s="434">
        <f t="shared" si="0"/>
        <v>20513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893</v>
      </c>
      <c r="B30" s="629"/>
      <c r="C30" s="629"/>
      <c r="D30" s="459" t="s">
        <v>818</v>
      </c>
      <c r="E30" s="628"/>
      <c r="F30" s="628"/>
      <c r="G30" s="628"/>
      <c r="H30" s="420" t="s">
        <v>782</v>
      </c>
      <c r="I30" s="628"/>
      <c r="J30" s="628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9"/>
  </sheetPr>
  <dimension ref="A1:P154"/>
  <sheetViews>
    <sheetView tabSelected="1" zoomScalePageLayoutView="0" workbookViewId="0" topLeftCell="A121">
      <selection activeCell="C63" sqref="C63:C66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3" t="str">
        <f>'справка №1-БАЛАНС'!E3</f>
        <v>"ЕНЕМОНА"АД, КОЗЛОДУЙ</v>
      </c>
      <c r="C5" s="633"/>
      <c r="D5" s="633"/>
      <c r="E5" s="570" t="s">
        <v>2</v>
      </c>
      <c r="F5" s="451" t="str">
        <f>'справка №1-БАЛАНС'!H3</f>
        <v>,020955078</v>
      </c>
    </row>
    <row r="6" spans="1:13" ht="15" customHeight="1">
      <c r="A6" s="27" t="s">
        <v>821</v>
      </c>
      <c r="B6" s="634" t="str">
        <f>'справка №1-БАЛАНС'!E5</f>
        <v>01.01.2009-30.09.2009 година</v>
      </c>
      <c r="C6" s="634"/>
      <c r="D6" s="510"/>
      <c r="E6" s="569" t="s">
        <v>4</v>
      </c>
      <c r="F6" s="511" t="str">
        <f>'справка №1-БАЛАНС'!H4</f>
        <v>1199-1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575" t="s">
        <v>867</v>
      </c>
      <c r="B12" s="37"/>
      <c r="C12" s="441">
        <v>5499</v>
      </c>
      <c r="D12" s="441"/>
      <c r="E12" s="441"/>
      <c r="F12" s="443">
        <f>C12-E12</f>
        <v>5499</v>
      </c>
    </row>
    <row r="13" spans="1:6" ht="12.75">
      <c r="A13" s="36" t="s">
        <v>868</v>
      </c>
      <c r="B13" s="37"/>
      <c r="C13" s="441">
        <v>1781</v>
      </c>
      <c r="D13" s="441"/>
      <c r="E13" s="441"/>
      <c r="F13" s="443">
        <f aca="true" t="shared" si="0" ref="F13:F26">C13-E13</f>
        <v>1781</v>
      </c>
    </row>
    <row r="14" spans="1:6" ht="12.75">
      <c r="A14" s="36" t="s">
        <v>869</v>
      </c>
      <c r="B14" s="37"/>
      <c r="C14" s="441">
        <v>1558</v>
      </c>
      <c r="D14" s="441"/>
      <c r="E14" s="441"/>
      <c r="F14" s="443">
        <f t="shared" si="0"/>
        <v>1558</v>
      </c>
    </row>
    <row r="15" spans="1:6" ht="12.75">
      <c r="A15" s="36" t="s">
        <v>870</v>
      </c>
      <c r="B15" s="37"/>
      <c r="C15" s="441">
        <v>42</v>
      </c>
      <c r="D15" s="441"/>
      <c r="E15" s="441"/>
      <c r="F15" s="443">
        <f t="shared" si="0"/>
        <v>42</v>
      </c>
    </row>
    <row r="16" spans="1:6" ht="12.75">
      <c r="A16" s="36" t="s">
        <v>872</v>
      </c>
      <c r="B16" s="37"/>
      <c r="C16" s="441">
        <v>0</v>
      </c>
      <c r="D16" s="441"/>
      <c r="E16" s="441"/>
      <c r="F16" s="443">
        <f t="shared" si="0"/>
        <v>0</v>
      </c>
    </row>
    <row r="17" spans="1:6" ht="12.75">
      <c r="A17" s="36" t="s">
        <v>873</v>
      </c>
      <c r="B17" s="37"/>
      <c r="C17" s="441">
        <v>0</v>
      </c>
      <c r="D17" s="441"/>
      <c r="E17" s="441"/>
      <c r="F17" s="443">
        <f t="shared" si="0"/>
        <v>0</v>
      </c>
    </row>
    <row r="18" spans="1:6" ht="12.75">
      <c r="A18" s="36" t="s">
        <v>874</v>
      </c>
      <c r="B18" s="37"/>
      <c r="C18" s="441">
        <v>450</v>
      </c>
      <c r="D18" s="441"/>
      <c r="E18" s="441"/>
      <c r="F18" s="443">
        <f t="shared" si="0"/>
        <v>450</v>
      </c>
    </row>
    <row r="19" spans="1:6" ht="12.75">
      <c r="A19" s="36" t="s">
        <v>875</v>
      </c>
      <c r="B19" s="37"/>
      <c r="C19" s="441">
        <v>25</v>
      </c>
      <c r="D19" s="441"/>
      <c r="E19" s="441"/>
      <c r="F19" s="443">
        <f t="shared" si="0"/>
        <v>25</v>
      </c>
    </row>
    <row r="20" spans="1:6" ht="12.75">
      <c r="A20" s="36" t="s">
        <v>876</v>
      </c>
      <c r="B20" s="37"/>
      <c r="C20" s="441">
        <v>495</v>
      </c>
      <c r="D20" s="441"/>
      <c r="E20" s="441"/>
      <c r="F20" s="443">
        <f t="shared" si="0"/>
        <v>495</v>
      </c>
    </row>
    <row r="21" spans="1:6" ht="12.75">
      <c r="A21" s="36" t="s">
        <v>877</v>
      </c>
      <c r="B21" s="37"/>
      <c r="C21" s="441">
        <v>4</v>
      </c>
      <c r="D21" s="441"/>
      <c r="E21" s="441"/>
      <c r="F21" s="443">
        <f t="shared" si="0"/>
        <v>4</v>
      </c>
    </row>
    <row r="22" spans="1:6" ht="12.75">
      <c r="A22" s="36" t="s">
        <v>878</v>
      </c>
      <c r="B22" s="37"/>
      <c r="C22" s="441">
        <v>45</v>
      </c>
      <c r="D22" s="441"/>
      <c r="E22" s="441"/>
      <c r="F22" s="443">
        <f t="shared" si="0"/>
        <v>45</v>
      </c>
    </row>
    <row r="23" spans="1:6" ht="12.75">
      <c r="A23" s="36" t="s">
        <v>879</v>
      </c>
      <c r="B23" s="37"/>
      <c r="C23" s="441">
        <v>2000</v>
      </c>
      <c r="D23" s="441"/>
      <c r="E23" s="441"/>
      <c r="F23" s="443">
        <f t="shared" si="0"/>
        <v>2000</v>
      </c>
    </row>
    <row r="24" spans="1:6" ht="12.75">
      <c r="A24" s="36" t="s">
        <v>880</v>
      </c>
      <c r="B24" s="37"/>
      <c r="C24" s="441">
        <v>2050</v>
      </c>
      <c r="D24" s="441"/>
      <c r="E24" s="441"/>
      <c r="F24" s="443">
        <f t="shared" si="0"/>
        <v>2050</v>
      </c>
    </row>
    <row r="25" spans="1:6" ht="12" customHeight="1">
      <c r="A25" s="36" t="s">
        <v>881</v>
      </c>
      <c r="B25" s="37"/>
      <c r="C25" s="441">
        <v>45</v>
      </c>
      <c r="D25" s="441"/>
      <c r="E25" s="441"/>
      <c r="F25" s="443">
        <f t="shared" si="0"/>
        <v>45</v>
      </c>
    </row>
    <row r="26" spans="1:6" ht="12.75">
      <c r="A26" s="36" t="s">
        <v>882</v>
      </c>
      <c r="B26" s="37"/>
      <c r="C26" s="441">
        <v>5913</v>
      </c>
      <c r="D26" s="441"/>
      <c r="E26" s="441"/>
      <c r="F26" s="443">
        <f t="shared" si="0"/>
        <v>5913</v>
      </c>
    </row>
    <row r="27" spans="1:16" ht="11.25" customHeight="1">
      <c r="A27" s="38" t="s">
        <v>565</v>
      </c>
      <c r="B27" s="39" t="s">
        <v>831</v>
      </c>
      <c r="C27" s="429">
        <f>SUM(C12:C26)</f>
        <v>19907</v>
      </c>
      <c r="D27" s="429"/>
      <c r="E27" s="429">
        <f>SUM(E12:E26)</f>
        <v>0</v>
      </c>
      <c r="F27" s="442">
        <f>SUM(F12:F26)</f>
        <v>19907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886</v>
      </c>
      <c r="B46" s="40"/>
      <c r="C46" s="441">
        <v>4</v>
      </c>
      <c r="D46" s="441"/>
      <c r="E46" s="441"/>
      <c r="F46" s="443">
        <f>C46-E46</f>
        <v>4</v>
      </c>
    </row>
    <row r="47" spans="1:6" ht="12.75">
      <c r="A47" s="36" t="s">
        <v>887</v>
      </c>
      <c r="B47" s="40"/>
      <c r="C47" s="441">
        <v>588</v>
      </c>
      <c r="D47" s="441"/>
      <c r="E47" s="441"/>
      <c r="F47" s="443">
        <f aca="true" t="shared" si="2" ref="F47:F60">C47-E47</f>
        <v>588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835</v>
      </c>
      <c r="C61" s="429">
        <f>SUM(C46:C60)</f>
        <v>592</v>
      </c>
      <c r="D61" s="429"/>
      <c r="E61" s="429">
        <f>SUM(E46:E60)</f>
        <v>0</v>
      </c>
      <c r="F61" s="442">
        <f>SUM(F46:F60)</f>
        <v>592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871</v>
      </c>
      <c r="B63" s="40"/>
      <c r="C63" s="441">
        <v>2</v>
      </c>
      <c r="D63" s="441"/>
      <c r="E63" s="441"/>
      <c r="F63" s="443">
        <f>C63-E63</f>
        <v>2</v>
      </c>
    </row>
    <row r="64" spans="1:6" ht="12.75">
      <c r="A64" s="36" t="s">
        <v>883</v>
      </c>
      <c r="B64" s="40"/>
      <c r="C64" s="441">
        <v>8</v>
      </c>
      <c r="D64" s="441"/>
      <c r="E64" s="441"/>
      <c r="F64" s="443">
        <f aca="true" t="shared" si="3" ref="F64:F77">C64-E64</f>
        <v>8</v>
      </c>
    </row>
    <row r="65" spans="1:6" ht="12.75">
      <c r="A65" s="36" t="s">
        <v>884</v>
      </c>
      <c r="B65" s="40"/>
      <c r="C65" s="441">
        <v>3</v>
      </c>
      <c r="D65" s="441"/>
      <c r="E65" s="441"/>
      <c r="F65" s="443">
        <f t="shared" si="3"/>
        <v>3</v>
      </c>
    </row>
    <row r="66" spans="1:6" ht="12.75">
      <c r="A66" s="36" t="s">
        <v>885</v>
      </c>
      <c r="B66" s="40"/>
      <c r="C66" s="441">
        <v>1</v>
      </c>
      <c r="D66" s="441"/>
      <c r="E66" s="441"/>
      <c r="F66" s="443">
        <f t="shared" si="3"/>
        <v>1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14</v>
      </c>
      <c r="D78" s="429"/>
      <c r="E78" s="429">
        <f>SUM(E63:E77)</f>
        <v>0</v>
      </c>
      <c r="F78" s="442">
        <f>SUM(F63:F77)</f>
        <v>14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20513</v>
      </c>
      <c r="D79" s="429"/>
      <c r="E79" s="429">
        <f>E78+E61+E44+E27</f>
        <v>0</v>
      </c>
      <c r="F79" s="442">
        <f>F78+F61+F44+F27</f>
        <v>20513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/>
      <c r="B133" s="40"/>
      <c r="C133" s="441"/>
      <c r="D133" s="441"/>
      <c r="E133" s="441"/>
      <c r="F133" s="443">
        <f>C133-E133</f>
        <v>0</v>
      </c>
    </row>
    <row r="134" spans="1:6" ht="12.75">
      <c r="A134" s="36"/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/>
      <c r="B135" s="40"/>
      <c r="C135" s="441"/>
      <c r="D135" s="441"/>
      <c r="E135" s="441"/>
      <c r="F135" s="443">
        <f t="shared" si="7"/>
        <v>0</v>
      </c>
    </row>
    <row r="136" spans="1:6" ht="12.75">
      <c r="A136" s="36"/>
      <c r="B136" s="40"/>
      <c r="C136" s="441"/>
      <c r="D136" s="441"/>
      <c r="E136" s="441"/>
      <c r="F136" s="443">
        <f t="shared" si="7"/>
        <v>0</v>
      </c>
    </row>
    <row r="137" spans="1:6" ht="12.75">
      <c r="A137" s="36"/>
      <c r="B137" s="37"/>
      <c r="C137" s="441"/>
      <c r="D137" s="441"/>
      <c r="E137" s="441"/>
      <c r="F137" s="443">
        <f t="shared" si="7"/>
        <v>0</v>
      </c>
    </row>
    <row r="138" spans="1:6" ht="12.75">
      <c r="A138" s="36"/>
      <c r="B138" s="37"/>
      <c r="C138" s="441"/>
      <c r="D138" s="441"/>
      <c r="E138" s="441"/>
      <c r="F138" s="443">
        <f t="shared" si="7"/>
        <v>0</v>
      </c>
    </row>
    <row r="139" spans="1:6" ht="12.75">
      <c r="A139" s="36"/>
      <c r="B139" s="37"/>
      <c r="C139" s="441"/>
      <c r="D139" s="441"/>
      <c r="E139" s="441"/>
      <c r="F139" s="443">
        <f t="shared" si="7"/>
        <v>0</v>
      </c>
    </row>
    <row r="140" spans="1:6" ht="12.75">
      <c r="A140" s="36"/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893</v>
      </c>
      <c r="B151" s="453"/>
      <c r="C151" s="635" t="s">
        <v>848</v>
      </c>
      <c r="D151" s="635"/>
      <c r="E151" s="635"/>
      <c r="F151" s="635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5" t="s">
        <v>856</v>
      </c>
      <c r="D153" s="635"/>
      <c r="E153" s="635"/>
      <c r="F153" s="635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Teodоra Petrova</cp:lastModifiedBy>
  <cp:lastPrinted>2009-10-02T13:25:08Z</cp:lastPrinted>
  <dcterms:created xsi:type="dcterms:W3CDTF">2009-07-20T16:16:45Z</dcterms:created>
  <dcterms:modified xsi:type="dcterms:W3CDTF">2009-10-07T11:21:18Z</dcterms:modified>
  <cp:category/>
  <cp:version/>
  <cp:contentType/>
  <cp:contentStatus/>
</cp:coreProperties>
</file>