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<sst xmlns="http://schemas.openxmlformats.org/spreadsheetml/2006/main" count="1065" uniqueCount="874">
  <si>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</si>
  <si>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</si>
  <si>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</si>
  <si>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</si>
  <si>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</si>
  <si>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</si>
  <si>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</si>
  <si>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</si>
  <si>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</si>
  <si>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</si>
  <si>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</si>
  <si>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</si>
  <si>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</si>
  <si>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</si>
  <si>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</si>
  <si>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</si>
  <si>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</si>
  <si>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</si>
  <si>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</si>
  <si>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</si>
  <si>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</si>
  <si>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</si>
  <si>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</si>
  <si>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</si>
  <si>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</si>
  <si>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</si>
  <si>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</si>
  <si>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</si>
  <si>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</si>
  <si>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</si>
  <si>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</si>
  <si>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</si>
  <si>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</si>
  <si>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</si>
  <si>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</si>
  <si>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</si>
  <si>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</si>
  <si>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</si>
  <si>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</si>
  <si>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</si>
  <si>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</si>
  <si>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</si>
  <si>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</si>
  <si>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</si>
  <si>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</si>
  <si>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</si>
  <si>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</si>
  <si>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</si>
  <si>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</si>
  <si>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</si>
  <si>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</si>
  <si>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</si>
  <si>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</si>
  <si>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</si>
  <si>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</si>
  <si>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</si>
  <si>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</si>
  <si>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</si>
  <si>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</si>
  <si>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</si>
  <si>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</si>
  <si>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</si>
  <si>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</si>
  <si>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</si>
  <si>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</si>
  <si>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</si>
  <si>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</si>
  <si>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</si>
  <si>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</si>
  <si>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</si>
  <si>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</si>
  <si>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</si>
  <si>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</si>
  <si>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</si>
  <si>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</si>
  <si>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</si>
  <si>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</si>
  <si>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</si>
  <si>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</si>
  <si>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</si>
  <si>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</si>
  <si>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</si>
  <si>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</si>
  <si>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</si>
  <si>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</si>
  <si>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</si>
  <si>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</si>
  <si>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</si>
  <si>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</si>
  <si>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</si>
  <si>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</si>
  <si>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</si>
  <si>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</si>
  <si>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</si>
  <si>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</si>
  <si>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</si>
  <si>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</si>
  <si>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</si>
  <si>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</si>
  <si>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</si>
  <si>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</si>
  <si>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</si>
  <si>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</si>
  <si>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</si>
  <si>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</si>
  <si>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</si>
  <si>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</si>
  <si>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</si>
  <si>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</si>
  <si>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</si>
  <si>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</si>
  <si>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</si>
  <si>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</si>
  <si>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</si>
  <si>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</si>
  <si>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</si>
  <si>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</si>
  <si>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</si>
  <si>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</si>
  <si>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</si>
  <si>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</si>
  <si>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</si>
  <si>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</si>
  <si>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</si>
  <si>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</si>
  <si>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</si>
  <si>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</si>
  <si>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</si>
  <si>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</si>
  <si>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</si>
  <si>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</si>
  <si>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</si>
  <si>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</si>
  <si>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</si>
  <si>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</si>
  <si>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</si>
  <si>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</si>
  <si>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</si>
  <si>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</si>
  <si>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</si>
  <si>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</si>
  <si>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</si>
  <si>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</si>
  <si>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</si>
  <si>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</si>
  <si>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</si>
  <si>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</si>
  <si>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</si>
  <si>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</si>
  <si>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</si>
  <si>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</si>
  <si>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</si>
  <si>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</si>
  <si>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</si>
  <si>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</si>
  <si>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</si>
  <si>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</si>
  <si>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</si>
  <si>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</si>
  <si>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</si>
  <si>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</si>
  <si>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</si>
  <si>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</si>
  <si>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</si>
  <si>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</si>
  <si>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</si>
  <si>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</si>
  <si>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</si>
  <si>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</si>
  <si>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</si>
  <si>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</si>
  <si>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</si>
  <si>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</si>
  <si>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</si>
  <si>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</si>
  <si>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</si>
  <si>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</si>
  <si>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</si>
  <si>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</si>
  <si>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</si>
  <si>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</si>
  <si>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</si>
  <si>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</si>
  <si>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</si>
  <si>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</si>
  <si>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</si>
  <si>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</si>
  <si>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</si>
  <si>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</si>
  <si>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</si>
  <si>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</si>
  <si>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</si>
  <si>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</si>
  <si>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</si>
  <si>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</si>
  <si>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</si>
  <si>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</si>
  <si>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</si>
  <si>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</si>
  <si>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</si>
  <si>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</si>
  <si>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</si>
  <si>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</si>
  <si>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</si>
  <si>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</si>
  <si>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</si>
  <si>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</si>
  <si>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</si>
  <si>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</si>
  <si>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</si>
  <si>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</si>
  <si>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</si>
  <si>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</si>
  <si>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</si>
  <si>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</si>
  <si>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</si>
  <si>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</si>
  <si>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</si>
  <si>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</si>
  <si>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</si>
  <si>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</si>
  <si>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</si>
  <si>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</si>
  <si>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</si>
  <si>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</si>
  <si>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</si>
  <si>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</si>
  <si>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</si>
  <si>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</si>
  <si>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</si>
  <si>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</si>
  <si>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</si>
  <si>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</si>
  <si>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</si>
  <si>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</si>
  <si>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</si>
  <si>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</si>
  <si>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</si>
  <si>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</si>
  <si>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</si>
  <si>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</si>
  <si>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</si>
  <si>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</si>
  <si>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</si>
  <si>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</si>
  <si>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</si>
  <si>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</si>
  <si>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</si>
  <si>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</si>
  <si>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</si>
  <si>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</si>
  <si>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</si>
  <si>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</si>
  <si>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</si>
  <si>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</si>
  <si>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</si>
  <si>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</si>
  <si>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</si>
  <si>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</si>
  <si>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</si>
  <si>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</si>
  <si>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</si>
  <si>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</si>
  <si>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</si>
  <si>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</si>
  <si>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</si>
  <si>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</si>
  <si>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</si>
  <si>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</si>
  <si>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</si>
  <si>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</si>
  <si>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</si>
  <si>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</si>
  <si>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</si>
  <si>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</si>
  <si>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</si>
  <si>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</si>
  <si>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</si>
  <si>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</si>
  <si>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</si>
  <si>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</si>
  <si>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</si>
  <si>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</si>
  <si>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</si>
  <si>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</si>
  <si>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</si>
  <si>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</si>
  <si>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</si>
  <si>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</si>
  <si>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</si>
  <si>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</si>
  <si>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</si>
  <si>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</si>
  <si>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</si>
  <si>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</si>
  <si>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</si>
  <si>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</si>
  <si>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</si>
  <si>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</si>
  <si>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</si>
  <si>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</si>
  <si>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</si>
  <si>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</si>
  <si>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</si>
  <si>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</si>
  <si>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</si>
  <si>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</si>
  <si>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</si>
  <si>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</si>
  <si>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</si>
  <si>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</si>
  <si>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</si>
  <si>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</si>
  <si>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</si>
  <si>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</si>
  <si>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</si>
  <si>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</si>
  <si>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</si>
  <si>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</si>
  <si>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</si>
  <si>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</si>
  <si>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</si>
  <si>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</si>
  <si>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</si>
  <si>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</si>
  <si>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</si>
  <si>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</si>
  <si>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</si>
  <si>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</si>
  <si>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</si>
  <si>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</si>
  <si>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</si>
  <si>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</si>
  <si>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</si>
  <si>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</si>
  <si>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</si>
  <si>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</si>
  <si>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</si>
  <si>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</si>
  <si>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</si>
  <si>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</si>
  <si>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</si>
  <si>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</si>
  <si>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</si>
  <si>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</si>
  <si>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</si>
  <si>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</si>
  <si>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</si>
  <si>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</si>
  <si>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</si>
  <si>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</si>
  <si>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</si>
  <si>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</si>
  <si>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</si>
  <si>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</si>
  <si>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</si>
  <si>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</si>
  <si>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</si>
  <si>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</si>
  <si>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</si>
  <si>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</si>
  <si>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</si>
  <si>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</si>
  <si>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</si>
  <si>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</si>
  <si>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</si>
  <si>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</si>
  <si>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</si>
  <si>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</si>
  <si>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</si>
  <si>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</si>
  <si>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</si>
  <si>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</si>
  <si>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</si>
  <si>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</si>
  <si>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</si>
  <si>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</si>
  <si>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</si>
  <si>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</si>
  <si>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</si>
  <si>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</si>
  <si>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</si>
  <si>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</si>
  <si>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</si>
  <si>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</si>
  <si>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</si>
  <si>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</si>
  <si>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</si>
  <si>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</si>
  <si>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</si>
  <si>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</si>
  <si>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</si>
  <si>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</si>
  <si>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</si>
  <si>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</si>
  <si>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</si>
  <si>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</si>
  <si>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</si>
  <si>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</si>
  <si>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</si>
  <si>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</si>
  <si>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</si>
  <si>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</si>
  <si>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</si>
  <si>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</si>
  <si>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</si>
  <si>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</si>
  <si>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</si>
  <si>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</si>
  <si>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</si>
  <si>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</si>
  <si>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</si>
  <si>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</si>
  <si>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</si>
  <si>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</si>
  <si>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</si>
  <si>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</si>
  <si>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</si>
  <si>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</si>
  <si>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</si>
  <si>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</si>
  <si>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</si>
  <si>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</si>
  <si>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</si>
  <si>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</si>
  <si>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</si>
  <si>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</si>
  <si>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</si>
  <si>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</si>
  <si>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</si>
  <si>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</si>
  <si>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</si>
  <si>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</si>
  <si>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</si>
  <si>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</si>
  <si>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</si>
  <si>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</si>
  <si>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</si>
  <si>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</si>
  <si>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</si>
  <si>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</si>
  <si>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</si>
  <si>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</si>
  <si>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</si>
  <si>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</si>
  <si>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</si>
  <si>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</si>
  <si>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</si>
  <si>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</si>
  <si>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</si>
  <si>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</si>
  <si>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</si>
  <si>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</si>
  <si>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</si>
  <si>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</si>
  <si>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</si>
  <si>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</si>
  <si>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</si>
  <si>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</si>
  <si>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</si>
  <si>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</si>
  <si>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</si>
  <si>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</si>
  <si>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</si>
  <si>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</si>
  <si>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</si>
  <si>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</si>
  <si>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</si>
  <si>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</si>
  <si>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</si>
  <si>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</si>
  <si>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</si>
  <si>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</si>
  <si>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</si>
  <si>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</si>
  <si>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</si>
  <si>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</si>
  <si>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</si>
  <si>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</si>
  <si>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</si>
  <si>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</si>
  <si>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</si>
  <si>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</si>
  <si>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</si>
  <si>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</si>
  <si>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</si>
  <si>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</si>
  <si>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</si>
  <si>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</si>
  <si>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</si>
  <si>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</si>
  <si>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</si>
  <si>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</si>
  <si>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</si>
  <si>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</si>
  <si>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</si>
  <si>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</si>
  <si>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</si>
  <si>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</si>
  <si>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</si>
  <si>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</si>
  <si>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</si>
  <si>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</si>
  <si>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</si>
  <si>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</si>
  <si>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</si>
  <si>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</si>
  <si>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</si>
  <si>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</si>
  <si>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</si>
  <si>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</si>
  <si>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</si>
  <si>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</si>
  <si>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</si>
  <si>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</si>
  <si>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</si>
  <si>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</si>
  <si>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</si>
  <si>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</si>
  <si>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</si>
  <si>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</si>
  <si>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</si>
  <si>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</si>
  <si>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</si>
  <si>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</si>
  <si>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</si>
  <si>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</si>
  <si>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</si>
  <si>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</si>
  <si>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</si>
  <si>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</si>
  <si>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</si>
  <si>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</si>
  <si>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</si>
  <si>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</si>
  <si>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</si>
  <si>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</si>
  <si>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</si>
  <si>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</si>
  <si>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</si>
  <si>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</si>
  <si>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</si>
  <si>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</si>
  <si>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</si>
  <si>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</si>
  <si>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</si>
  <si>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</si>
  <si>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</si>
  <si>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</si>
  <si>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</si>
  <si>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</si>
  <si>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</si>
  <si>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</si>
  <si>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</si>
  <si>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</si>
  <si>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</si>
  <si>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</si>
  <si>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</si>
  <si>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</si>
  <si>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</si>
  <si>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</si>
  <si>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</si>
  <si>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</si>
  <si>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</si>
  <si>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</si>
  <si>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</si>
  <si>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</si>
  <si>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</si>
  <si>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</si>
  <si>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</si>
  <si>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</si>
  <si>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</si>
  <si>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</si>
  <si>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</si>
  <si>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</si>
  <si>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</si>
  <si>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</si>
  <si>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</si>
  <si>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</si>
  <si>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</si>
  <si>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</si>
  <si>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</si>
  <si>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</si>
  <si>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</si>
  <si>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</si>
  <si>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</si>
  <si>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</si>
  <si>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</si>
  <si>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</si>
  <si>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</si>
  <si>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</si>
  <si>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</si>
  <si>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</si>
  <si>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</si>
  <si>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</si>
  <si>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</si>
  <si>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</si>
  <si>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</si>
  <si>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</si>
  <si>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</si>
  <si>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</si>
  <si>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</si>
  <si>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</si>
  <si>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</si>
  <si>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</si>
  <si>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</si>
  <si>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</si>
  <si>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</si>
  <si>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</si>
  <si>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</si>
  <si>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</si>
  <si>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</si>
  <si>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</si>
  <si>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</si>
  <si>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</si>
  <si>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</si>
  <si>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</si>
  <si>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</si>
  <si>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</si>
  <si>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</si>
  <si>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</si>
  <si>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</si>
  <si>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</si>
  <si>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</si>
  <si>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</si>
  <si>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</si>
  <si>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</si>
  <si>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</si>
  <si>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</si>
  <si>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</si>
  <si>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</si>
  <si>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</si>
  <si>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</si>
  <si>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</si>
  <si>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</si>
  <si>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</si>
  <si>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</si>
  <si>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</si>
  <si>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</si>
  <si>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</si>
  <si>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</si>
  <si>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</si>
  <si>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</si>
  <si>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</si>
  <si>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</si>
  <si>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</si>
  <si>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</si>
  <si>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</si>
  <si>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</si>
  <si>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</si>
  <si>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</si>
  <si>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</si>
  <si>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</si>
  <si>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</si>
  <si>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</si>
  <si>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</si>
  <si>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</si>
  <si>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</si>
  <si>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</si>
  <si>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</si>
  <si>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</si>
  <si>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</si>
  <si>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</si>
  <si>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</si>
  <si>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</si>
  <si>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</si>
  <si>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</si>
  <si>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</si>
  <si>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</si>
  <si>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</si>
  <si>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</si>
  <si>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</si>
  <si>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</si>
  <si>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</si>
  <si>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</si>
  <si>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</si>
  <si>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</si>
  <si>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</si>
  <si>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</si>
  <si>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</si>
  <si>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</si>
  <si>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</si>
  <si>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</si>
  <si>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</si>
  <si>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</si>
  <si>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</si>
  <si>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</si>
  <si>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</si>
  <si>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</si>
  <si>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</si>
  <si>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</si>
  <si>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</si>
  <si>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</si>
  <si>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</si>
  <si>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</si>
  <si>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</si>
  <si>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</si>
  <si>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</si>
  <si>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</si>
  <si>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</si>
  <si>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</si>
  <si>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</si>
  <si>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</si>
  <si>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</si>
  <si>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</si>
  <si>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</si>
  <si>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</si>
  <si>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</si>
  <si>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</si>
  <si>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</si>
  <si>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</si>
  <si>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</si>
  <si>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</si>
  <si>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</si>
  <si>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</si>
  <si>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</si>
  <si>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</si>
  <si>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</si>
  <si>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</si>
  <si>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</si>
  <si>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</si>
  <si>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</si>
  <si>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</si>
  <si>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</si>
  <si>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</si>
  <si>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</si>
  <si>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</si>
  <si>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</si>
  <si>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</si>
  <si>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</si>
  <si>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</si>
  <si>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</si>
  <si>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</si>
  <si>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</si>
  <si>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</si>
  <si>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</si>
  <si>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</si>
  <si>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</si>
  <si>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</si>
  <si>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</si>
  <si>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</si>
  <si>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</si>
  <si>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</si>
  <si>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</si>
  <si>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</si>
  <si>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</si>
  <si>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</si>
  <si>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</si>
  <si>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</si>
  <si>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</si>
  <si>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</si>
  <si>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</si>
  <si>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</si>
  <si>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</si>
  <si>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</si>
  <si>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</si>
  <si>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</si>
  <si>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</si>
  <si>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</si>
  <si>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</si>
  <si>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</si>
  <si>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</si>
  <si>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</si>
  <si>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</si>
  <si>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</si>
  <si>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</si>
  <si>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</si>
  <si>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</si>
  <si>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</si>
  <si>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</si>
  <si>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</si>
  <si>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</si>
  <si>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</si>
  <si>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</si>
  <si>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</si>
  <si>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</si>
  <si>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</si>
  <si>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</si>
  <si>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</si>
  <si>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</si>
  <si>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</si>
  <si>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</si>
  <si>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</si>
  <si>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</si>
  <si>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</si>
  <si>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</si>
  <si>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</si>
  <si>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</si>
  <si>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</si>
  <si>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</si>
  <si>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</si>
  <si>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</si>
  <si>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</si>
  <si>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</si>
  <si>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</si>
  <si>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</si>
  <si>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</si>
  <si>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</si>
  <si>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</si>
  <si>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</si>
  <si>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</si>
  <si>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</si>
  <si>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</si>
  <si>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</si>
  <si>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</si>
  <si>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</si>
  <si>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</si>
  <si>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</si>
  <si>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</si>
  <si>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</si>
  <si>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</si>
  <si>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</si>
  <si>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</si>
  <si>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</si>
  <si>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</si>
  <si>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</si>
  <si>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</si>
  <si>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</si>
  <si>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</si>
  <si>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</si>
  <si>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</si>
  <si>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</si>
  <si>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</si>
  <si>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</si>
  <si>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</si>
  <si>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</si>
  <si>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</si>
  <si>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</si>
  <si>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</si>
  <si>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</si>
  <si>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</si>
  <si>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</si>
  <si>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</si>
  <si>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</si>
  <si>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</si>
  <si>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</si>
  <si>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</si>
  <si>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</si>
  <si>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</si>
  <si>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</si>
  <si>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</si>
  <si>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</si>
  <si>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</si>
  <si>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</si>
  <si>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</si>
  <si>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</si>
  <si>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</si>
  <si>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</si>
  <si>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</si>
  <si>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</si>
  <si>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</si>
  <si>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</si>
  <si>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</si>
  <si>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</si>
  <si>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</si>
  <si>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</si>
  <si>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</si>
  <si>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</si>
  <si>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МЕКОМ АД</t>
  </si>
  <si>
    <t>консолидиран</t>
  </si>
  <si>
    <t>1.С и С Груп АД</t>
  </si>
  <si>
    <t>Съставител: П. Гаева</t>
  </si>
  <si>
    <t>Ръководител: М. Стоянова</t>
  </si>
  <si>
    <t>П. Гаева</t>
  </si>
  <si>
    <t>М. Стоянова</t>
  </si>
  <si>
    <t xml:space="preserve"> Ръководител:</t>
  </si>
  <si>
    <t xml:space="preserve">                                    Съставител: П. Гаева                       </t>
  </si>
  <si>
    <t xml:space="preserve">3. </t>
  </si>
  <si>
    <t>към 31.12.2008 г.</t>
  </si>
  <si>
    <t>Дата на съставяне: 20.02.2009</t>
  </si>
  <si>
    <t xml:space="preserve">Дата на съставяне:  20.02.2009                                     </t>
  </si>
  <si>
    <t xml:space="preserve">Дата  на съставяне: 20.02.2009                                                                                                                             </t>
  </si>
  <si>
    <t xml:space="preserve">Дата на съставяне: 20.02.2009                     </t>
  </si>
  <si>
    <r>
      <t xml:space="preserve">Дата на съставяне: </t>
    </r>
    <r>
      <rPr>
        <sz val="10"/>
        <rFont val="Times New Roman"/>
        <family val="1"/>
      </rPr>
      <t>20.02.2009</t>
    </r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</si>
</sst>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">
      <selection activeCell="C100" sqref="C100:E10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858</v>
      </c>
      <c r="F3" s="217" t="s">
        <v>2</v>
      </c>
      <c r="G3" s="172"/>
      <c r="H3" s="461">
        <v>118502239</v>
      </c>
    </row>
    <row r="4" spans="1:8" ht="15">
      <c r="A4" s="580" t="s">
        <v>3</v>
      </c>
      <c r="B4" s="586"/>
      <c r="C4" s="586"/>
      <c r="D4" s="586"/>
      <c r="E4" s="504" t="s">
        <v>859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522</v>
      </c>
      <c r="D11" s="151">
        <v>474</v>
      </c>
      <c r="E11" s="237" t="s">
        <v>22</v>
      </c>
      <c r="F11" s="242" t="s">
        <v>23</v>
      </c>
      <c r="G11" s="152">
        <v>56004</v>
      </c>
      <c r="H11" s="152">
        <v>53414</v>
      </c>
    </row>
    <row r="12" spans="1:8" ht="15">
      <c r="A12" s="235" t="s">
        <v>24</v>
      </c>
      <c r="B12" s="241" t="s">
        <v>25</v>
      </c>
      <c r="C12" s="151">
        <v>17923</v>
      </c>
      <c r="D12" s="151">
        <v>18550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7630</v>
      </c>
      <c r="D13" s="151">
        <v>7997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2403</v>
      </c>
      <c r="D14" s="151">
        <v>3283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2216</v>
      </c>
      <c r="D15" s="151">
        <v>1774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203</v>
      </c>
      <c r="D17" s="151">
        <v>219</v>
      </c>
      <c r="E17" s="243" t="s">
        <v>46</v>
      </c>
      <c r="F17" s="245" t="s">
        <v>47</v>
      </c>
      <c r="G17" s="154">
        <f>G11+G14+G15+G16</f>
        <v>56004</v>
      </c>
      <c r="H17" s="154">
        <f>H11+H14+H15+H16</f>
        <v>53414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172</v>
      </c>
      <c r="D18" s="151">
        <v>172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31069</v>
      </c>
      <c r="D19" s="155">
        <f>SUM(D11:D18)</f>
        <v>32469</v>
      </c>
      <c r="E19" s="237" t="s">
        <v>53</v>
      </c>
      <c r="F19" s="242" t="s">
        <v>54</v>
      </c>
      <c r="G19" s="152">
        <v>3108</v>
      </c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>
        <v>2201</v>
      </c>
      <c r="D21" s="151">
        <v>2160</v>
      </c>
      <c r="E21" s="251" t="s">
        <v>61</v>
      </c>
      <c r="F21" s="242" t="s">
        <v>62</v>
      </c>
      <c r="G21" s="156">
        <f>SUM(G22:G24)</f>
        <v>3310</v>
      </c>
      <c r="H21" s="156">
        <f>SUM(H22:H24)</f>
        <v>2995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3310</v>
      </c>
      <c r="H22" s="152">
        <v>2995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</v>
      </c>
      <c r="D24" s="151">
        <v>4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6418</v>
      </c>
      <c r="H25" s="154">
        <f>H19+H20+H21</f>
        <v>2995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4</v>
      </c>
      <c r="E27" s="253" t="s">
        <v>83</v>
      </c>
      <c r="F27" s="242" t="s">
        <v>84</v>
      </c>
      <c r="G27" s="154">
        <f>SUM(G28:G30)</f>
        <v>8581</v>
      </c>
      <c r="H27" s="154">
        <f>SUM(H28:H30)</f>
        <v>4219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8581</v>
      </c>
      <c r="H28" s="152">
        <v>4219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25222</v>
      </c>
      <c r="D30" s="151">
        <v>25222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5329</v>
      </c>
      <c r="H31" s="152">
        <v>4309</v>
      </c>
      <c r="M31" s="157"/>
    </row>
    <row r="32" spans="1:15" ht="15">
      <c r="A32" s="235" t="s">
        <v>98</v>
      </c>
      <c r="B32" s="250" t="s">
        <v>99</v>
      </c>
      <c r="C32" s="155">
        <f>C30+C31</f>
        <v>25222</v>
      </c>
      <c r="D32" s="155">
        <f>D30+D31</f>
        <v>25222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13910</v>
      </c>
      <c r="H33" s="154">
        <f>H27+H31+H32</f>
        <v>8528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400</v>
      </c>
      <c r="D34" s="155">
        <f>SUM(D35:D38)</f>
        <v>1245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76332</v>
      </c>
      <c r="H36" s="154">
        <f>H25+H17+H33</f>
        <v>64937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400</v>
      </c>
      <c r="D38" s="151">
        <v>1245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854</v>
      </c>
      <c r="H39" s="158">
        <v>947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27284</v>
      </c>
      <c r="H44" s="152">
        <v>16914</v>
      </c>
    </row>
    <row r="45" spans="1:15" ht="15">
      <c r="A45" s="235" t="s">
        <v>136</v>
      </c>
      <c r="B45" s="249" t="s">
        <v>137</v>
      </c>
      <c r="C45" s="155">
        <f>C34+C39+C44</f>
        <v>400</v>
      </c>
      <c r="D45" s="155">
        <f>D34+D39+D44</f>
        <v>1245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436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2400</v>
      </c>
      <c r="D48" s="151"/>
      <c r="E48" s="237" t="s">
        <v>149</v>
      </c>
      <c r="F48" s="242" t="s">
        <v>150</v>
      </c>
      <c r="G48" s="152">
        <v>247</v>
      </c>
      <c r="H48" s="152">
        <v>460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27531</v>
      </c>
      <c r="H49" s="154">
        <f>SUM(H43:H48)</f>
        <v>17810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11102</v>
      </c>
      <c r="D50" s="151">
        <v>12071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13502</v>
      </c>
      <c r="D51" s="155">
        <f>SUM(D47:D50)</f>
        <v>12071</v>
      </c>
      <c r="E51" s="251" t="s">
        <v>157</v>
      </c>
      <c r="F51" s="245" t="s">
        <v>158</v>
      </c>
      <c r="G51" s="152">
        <v>22</v>
      </c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316</v>
      </c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8176</v>
      </c>
      <c r="H54" s="152">
        <v>9514</v>
      </c>
    </row>
    <row r="55" spans="1:18" ht="25.5">
      <c r="A55" s="269" t="s">
        <v>170</v>
      </c>
      <c r="B55" s="270" t="s">
        <v>171</v>
      </c>
      <c r="C55" s="155">
        <f>C19+C20+C21+C27+C32+C45+C51+C53+C54</f>
        <v>72396</v>
      </c>
      <c r="D55" s="155">
        <f>D19+D20+D21+D27+D32+D45+D51+D53+D54</f>
        <v>73171</v>
      </c>
      <c r="E55" s="237" t="s">
        <v>172</v>
      </c>
      <c r="F55" s="261" t="s">
        <v>173</v>
      </c>
      <c r="G55" s="154">
        <f>G49+G51+G52+G53+G54</f>
        <v>36045</v>
      </c>
      <c r="H55" s="154">
        <f>H49+H51+H52+H53+H54</f>
        <v>27324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11234</v>
      </c>
      <c r="D58" s="151">
        <v>8128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12246</v>
      </c>
      <c r="D59" s="151">
        <v>8195</v>
      </c>
      <c r="E59" s="251" t="s">
        <v>181</v>
      </c>
      <c r="F59" s="242" t="s">
        <v>182</v>
      </c>
      <c r="G59" s="152">
        <v>7907</v>
      </c>
      <c r="H59" s="152">
        <v>10951</v>
      </c>
      <c r="M59" s="157"/>
    </row>
    <row r="60" spans="1:8" ht="15">
      <c r="A60" s="235" t="s">
        <v>183</v>
      </c>
      <c r="B60" s="241" t="s">
        <v>184</v>
      </c>
      <c r="C60" s="151">
        <v>4896</v>
      </c>
      <c r="D60" s="151">
        <v>1251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109</v>
      </c>
      <c r="E61" s="243" t="s">
        <v>189</v>
      </c>
      <c r="F61" s="272" t="s">
        <v>190</v>
      </c>
      <c r="G61" s="154">
        <f>SUM(G62:G68)</f>
        <v>9581</v>
      </c>
      <c r="H61" s="154">
        <f>SUM(H62:H68)</f>
        <v>8941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5238</v>
      </c>
      <c r="D62" s="151">
        <v>4415</v>
      </c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147</v>
      </c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33614</v>
      </c>
      <c r="D64" s="155">
        <f>SUM(D58:D63)</f>
        <v>22098</v>
      </c>
      <c r="E64" s="237" t="s">
        <v>200</v>
      </c>
      <c r="F64" s="242" t="s">
        <v>201</v>
      </c>
      <c r="G64" s="152">
        <v>8499</v>
      </c>
      <c r="H64" s="152">
        <v>8344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236</v>
      </c>
      <c r="H66" s="152">
        <v>210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59</v>
      </c>
      <c r="H67" s="152">
        <v>51</v>
      </c>
    </row>
    <row r="68" spans="1:8" ht="15">
      <c r="A68" s="235" t="s">
        <v>211</v>
      </c>
      <c r="B68" s="241" t="s">
        <v>212</v>
      </c>
      <c r="C68" s="151">
        <v>6976</v>
      </c>
      <c r="D68" s="151">
        <v>8061</v>
      </c>
      <c r="E68" s="237" t="s">
        <v>213</v>
      </c>
      <c r="F68" s="242" t="s">
        <v>214</v>
      </c>
      <c r="G68" s="152">
        <v>640</v>
      </c>
      <c r="H68" s="152">
        <v>336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364</v>
      </c>
      <c r="H69" s="152">
        <v>393</v>
      </c>
    </row>
    <row r="70" spans="1:8" ht="15">
      <c r="A70" s="235" t="s">
        <v>218</v>
      </c>
      <c r="B70" s="241" t="s">
        <v>219</v>
      </c>
      <c r="C70" s="151">
        <v>11834</v>
      </c>
      <c r="D70" s="151">
        <v>6582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17852</v>
      </c>
      <c r="H71" s="161">
        <f>H59+H60+H61+H69+H70</f>
        <v>20285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1297</v>
      </c>
      <c r="D72" s="151">
        <v>286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2579</v>
      </c>
      <c r="D74" s="151">
        <v>1475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22686</v>
      </c>
      <c r="D75" s="155">
        <f>SUM(D67:D74)</f>
        <v>16404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17852</v>
      </c>
      <c r="H79" s="162">
        <f>H71+H74+H75+H76</f>
        <v>20285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804</v>
      </c>
      <c r="D87" s="151">
        <v>546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1583</v>
      </c>
      <c r="D88" s="151">
        <v>1274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2387</v>
      </c>
      <c r="D91" s="155">
        <f>SUM(D87:D90)</f>
        <v>1820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58687</v>
      </c>
      <c r="D93" s="155">
        <f>D64+D75+D84+D91+D92</f>
        <v>40322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131083</v>
      </c>
      <c r="D94" s="164">
        <f>D93+D55</f>
        <v>113493</v>
      </c>
      <c r="E94" s="449" t="s">
        <v>270</v>
      </c>
      <c r="F94" s="289" t="s">
        <v>271</v>
      </c>
      <c r="G94" s="165">
        <f>G36+G39+G55+G79</f>
        <v>131083</v>
      </c>
      <c r="H94" s="165">
        <f>H36+H39+H55+H79</f>
        <v>113493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4" t="s">
        <v>861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862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22">
      <selection activeCell="C40" sqref="C4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МЕКОМ АД</v>
      </c>
      <c r="C2" s="589"/>
      <c r="D2" s="589"/>
      <c r="E2" s="589"/>
      <c r="F2" s="576" t="s">
        <v>2</v>
      </c>
      <c r="G2" s="576"/>
      <c r="H2" s="526">
        <f>'справка №1-БАЛАНС'!H3</f>
        <v>118502239</v>
      </c>
    </row>
    <row r="3" spans="1:8" ht="15">
      <c r="A3" s="467" t="s">
        <v>274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към 31.12.2008 г.</v>
      </c>
      <c r="C4" s="590"/>
      <c r="D4" s="590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42647</v>
      </c>
      <c r="D9" s="46">
        <v>29532</v>
      </c>
      <c r="E9" s="298" t="s">
        <v>284</v>
      </c>
      <c r="F9" s="549" t="s">
        <v>285</v>
      </c>
      <c r="G9" s="550">
        <v>57155</v>
      </c>
      <c r="H9" s="550">
        <v>50621</v>
      </c>
    </row>
    <row r="10" spans="1:8" ht="12">
      <c r="A10" s="298" t="s">
        <v>286</v>
      </c>
      <c r="B10" s="299" t="s">
        <v>287</v>
      </c>
      <c r="C10" s="46">
        <v>3779</v>
      </c>
      <c r="D10" s="46">
        <v>2445</v>
      </c>
      <c r="E10" s="298" t="s">
        <v>288</v>
      </c>
      <c r="F10" s="549" t="s">
        <v>289</v>
      </c>
      <c r="G10" s="550">
        <v>13720</v>
      </c>
      <c r="H10" s="550">
        <v>14076</v>
      </c>
    </row>
    <row r="11" spans="1:8" ht="12">
      <c r="A11" s="298" t="s">
        <v>290</v>
      </c>
      <c r="B11" s="299" t="s">
        <v>291</v>
      </c>
      <c r="C11" s="46">
        <v>3288</v>
      </c>
      <c r="D11" s="46">
        <v>3282</v>
      </c>
      <c r="E11" s="300" t="s">
        <v>292</v>
      </c>
      <c r="F11" s="549" t="s">
        <v>293</v>
      </c>
      <c r="G11" s="550">
        <v>1251</v>
      </c>
      <c r="H11" s="550"/>
    </row>
    <row r="12" spans="1:8" ht="12">
      <c r="A12" s="298" t="s">
        <v>294</v>
      </c>
      <c r="B12" s="299" t="s">
        <v>295</v>
      </c>
      <c r="C12" s="46">
        <v>1498</v>
      </c>
      <c r="D12" s="46">
        <v>1234</v>
      </c>
      <c r="E12" s="300" t="s">
        <v>78</v>
      </c>
      <c r="F12" s="549" t="s">
        <v>296</v>
      </c>
      <c r="G12" s="550">
        <v>188</v>
      </c>
      <c r="H12" s="550">
        <v>740</v>
      </c>
    </row>
    <row r="13" spans="1:18" ht="12">
      <c r="A13" s="298" t="s">
        <v>297</v>
      </c>
      <c r="B13" s="299" t="s">
        <v>298</v>
      </c>
      <c r="C13" s="46">
        <v>287</v>
      </c>
      <c r="D13" s="46">
        <v>288</v>
      </c>
      <c r="E13" s="301" t="s">
        <v>51</v>
      </c>
      <c r="F13" s="551" t="s">
        <v>299</v>
      </c>
      <c r="G13" s="548">
        <f>SUM(G9:G12)</f>
        <v>72314</v>
      </c>
      <c r="H13" s="548">
        <f>SUM(H9:H12)</f>
        <v>65437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25573</v>
      </c>
      <c r="D14" s="46">
        <v>33853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-10799</v>
      </c>
      <c r="D15" s="47">
        <v>-11072</v>
      </c>
      <c r="E15" s="296" t="s">
        <v>304</v>
      </c>
      <c r="F15" s="554" t="s">
        <v>305</v>
      </c>
      <c r="G15" s="550">
        <v>2495</v>
      </c>
      <c r="H15" s="550">
        <v>1095</v>
      </c>
    </row>
    <row r="16" spans="1:8" ht="12">
      <c r="A16" s="298" t="s">
        <v>306</v>
      </c>
      <c r="B16" s="299" t="s">
        <v>307</v>
      </c>
      <c r="C16" s="47">
        <v>890</v>
      </c>
      <c r="D16" s="47">
        <v>102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47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67163</v>
      </c>
      <c r="D19" s="49">
        <f>SUM(D9:D15)+D16</f>
        <v>59664</v>
      </c>
      <c r="E19" s="304" t="s">
        <v>316</v>
      </c>
      <c r="F19" s="552" t="s">
        <v>317</v>
      </c>
      <c r="G19" s="550">
        <v>2476</v>
      </c>
      <c r="H19" s="550">
        <v>1108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>
        <v>78</v>
      </c>
    </row>
    <row r="22" spans="1:8" ht="24">
      <c r="A22" s="304" t="s">
        <v>323</v>
      </c>
      <c r="B22" s="305" t="s">
        <v>324</v>
      </c>
      <c r="C22" s="46">
        <v>3880</v>
      </c>
      <c r="D22" s="46">
        <v>2892</v>
      </c>
      <c r="E22" s="304" t="s">
        <v>325</v>
      </c>
      <c r="F22" s="552" t="s">
        <v>326</v>
      </c>
      <c r="G22" s="550"/>
      <c r="H22" s="550">
        <v>12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81</v>
      </c>
      <c r="E24" s="301" t="s">
        <v>103</v>
      </c>
      <c r="F24" s="554" t="s">
        <v>333</v>
      </c>
      <c r="G24" s="548">
        <f>SUM(G19:G23)</f>
        <v>2476</v>
      </c>
      <c r="H24" s="548">
        <f>SUM(H19:H23)</f>
        <v>1198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208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3880</v>
      </c>
      <c r="D26" s="49">
        <f>SUM(D22:D25)</f>
        <v>3181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71043</v>
      </c>
      <c r="D28" s="50">
        <f>D26+D19</f>
        <v>62845</v>
      </c>
      <c r="E28" s="127" t="s">
        <v>338</v>
      </c>
      <c r="F28" s="554" t="s">
        <v>339</v>
      </c>
      <c r="G28" s="548">
        <f>G13+G15+G24</f>
        <v>77285</v>
      </c>
      <c r="H28" s="548">
        <f>H13+H15+H24</f>
        <v>67730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6242</v>
      </c>
      <c r="D30" s="50">
        <f>IF((H28-D28)&gt;0,H28-D28,0)</f>
        <v>4885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71043</v>
      </c>
      <c r="D33" s="49">
        <f>D28-D31+D32</f>
        <v>62845</v>
      </c>
      <c r="E33" s="127" t="s">
        <v>352</v>
      </c>
      <c r="F33" s="554" t="s">
        <v>353</v>
      </c>
      <c r="G33" s="53">
        <f>G32-G31+G28</f>
        <v>77285</v>
      </c>
      <c r="H33" s="53">
        <f>H32-H31+H28</f>
        <v>67730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6242</v>
      </c>
      <c r="D34" s="50">
        <f>IF((H33-D33)&gt;0,H33-D33,0)</f>
        <v>4885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760</v>
      </c>
      <c r="D35" s="49">
        <f>D36+D37+D38</f>
        <v>458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760</v>
      </c>
      <c r="D36" s="46">
        <v>386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72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5482</v>
      </c>
      <c r="D39" s="460">
        <f>+IF((H33-D33-D35)&gt;0,H33-D33-D35,0)</f>
        <v>4427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>
        <v>153</v>
      </c>
      <c r="D40" s="51">
        <v>118</v>
      </c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5329</v>
      </c>
      <c r="D41" s="52">
        <f>IF(H39=0,IF(D39-D40&gt;0,D39-D40+H40,0),IF(H39-H40&lt;0,H40-H39+D39,0))</f>
        <v>4309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77285</v>
      </c>
      <c r="D42" s="53">
        <f>D33+D35+D39</f>
        <v>67730</v>
      </c>
      <c r="E42" s="128" t="s">
        <v>379</v>
      </c>
      <c r="F42" s="129" t="s">
        <v>380</v>
      </c>
      <c r="G42" s="53">
        <f>G39+G33</f>
        <v>77285</v>
      </c>
      <c r="H42" s="53">
        <f>H39+H33</f>
        <v>67730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856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39864</v>
      </c>
      <c r="C48" s="427" t="s">
        <v>381</v>
      </c>
      <c r="D48" s="587" t="s">
        <v>863</v>
      </c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8" t="s">
        <v>864</v>
      </c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B16">
      <selection activeCell="C42" sqref="C42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МЕКОМ АД</v>
      </c>
      <c r="C4" s="541" t="s">
        <v>2</v>
      </c>
      <c r="D4" s="541">
        <f>'справка №1-БАЛАНС'!H3</f>
        <v>118502239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към 31.12.2008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75409</v>
      </c>
      <c r="D10" s="54">
        <v>62742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-75638</v>
      </c>
      <c r="D11" s="54">
        <v>-60019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-1621</v>
      </c>
      <c r="D13" s="54">
        <v>-1337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-342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-167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>
        <v>496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>
        <v>-3714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911</v>
      </c>
      <c r="D19" s="54">
        <v>1015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-1281</v>
      </c>
      <c r="D20" s="55">
        <f>SUM(D10:D19)</f>
        <v>-984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-604</v>
      </c>
      <c r="D22" s="54">
        <v>-2715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>
        <v>484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-604</v>
      </c>
      <c r="D32" s="55">
        <f>SUM(D22:D31)</f>
        <v>-2231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5698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21999</v>
      </c>
      <c r="D36" s="54">
        <v>21496</v>
      </c>
      <c r="E36" s="130"/>
      <c r="F36" s="130"/>
    </row>
    <row r="37" spans="1:6" ht="12">
      <c r="A37" s="332" t="s">
        <v>437</v>
      </c>
      <c r="B37" s="333" t="s">
        <v>438</v>
      </c>
      <c r="C37" s="54">
        <v>-23040</v>
      </c>
      <c r="D37" s="54">
        <v>-19083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-1876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-329</v>
      </c>
      <c r="D41" s="54">
        <v>-152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2452</v>
      </c>
      <c r="D42" s="55">
        <f>SUM(D34:D41)</f>
        <v>2261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567</v>
      </c>
      <c r="D43" s="55">
        <f>D42+D32+D20</f>
        <v>-954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1820</v>
      </c>
      <c r="D44" s="132">
        <v>2774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2387</v>
      </c>
      <c r="D45" s="55">
        <f>D44+D43</f>
        <v>1820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870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861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A12" sqref="A1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459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МЕКОМ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118502239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31.12.2008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53414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2995</v>
      </c>
      <c r="G11" s="58">
        <f>'справка №1-БАЛАНС'!H23</f>
        <v>0</v>
      </c>
      <c r="H11" s="60"/>
      <c r="I11" s="58">
        <f>'справка №1-БАЛАНС'!H28+'справка №1-БАЛАНС'!H31</f>
        <v>8528</v>
      </c>
      <c r="J11" s="58">
        <f>'справка №1-БАЛАНС'!H29+'справка №1-БАЛАНС'!H32</f>
        <v>0</v>
      </c>
      <c r="K11" s="60"/>
      <c r="L11" s="344">
        <f>SUM(C11:K11)</f>
        <v>64937</v>
      </c>
      <c r="M11" s="58">
        <f>'справка №1-БАЛАНС'!H39</f>
        <v>947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53414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2995</v>
      </c>
      <c r="G15" s="61">
        <f t="shared" si="2"/>
        <v>0</v>
      </c>
      <c r="H15" s="61">
        <f t="shared" si="2"/>
        <v>0</v>
      </c>
      <c r="I15" s="61">
        <f t="shared" si="2"/>
        <v>8528</v>
      </c>
      <c r="J15" s="61">
        <f t="shared" si="2"/>
        <v>0</v>
      </c>
      <c r="K15" s="61">
        <f t="shared" si="2"/>
        <v>0</v>
      </c>
      <c r="L15" s="344">
        <f t="shared" si="1"/>
        <v>64937</v>
      </c>
      <c r="M15" s="61">
        <f t="shared" si="2"/>
        <v>947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5329</v>
      </c>
      <c r="J16" s="345">
        <f>+'справка №1-БАЛАНС'!G32</f>
        <v>0</v>
      </c>
      <c r="K16" s="60"/>
      <c r="L16" s="344">
        <f t="shared" si="1"/>
        <v>5329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2590</v>
      </c>
      <c r="D28" s="60">
        <v>3108</v>
      </c>
      <c r="E28" s="60"/>
      <c r="F28" s="60">
        <v>315</v>
      </c>
      <c r="G28" s="60"/>
      <c r="H28" s="60"/>
      <c r="I28" s="60">
        <v>53</v>
      </c>
      <c r="J28" s="60"/>
      <c r="K28" s="60"/>
      <c r="L28" s="344">
        <f t="shared" si="1"/>
        <v>6066</v>
      </c>
      <c r="M28" s="60">
        <v>-93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56004</v>
      </c>
      <c r="D29" s="59">
        <f aca="true" t="shared" si="6" ref="D29:M29">D17+D20+D21+D24+D28+D27+D15+D16</f>
        <v>3108</v>
      </c>
      <c r="E29" s="59">
        <f t="shared" si="6"/>
        <v>0</v>
      </c>
      <c r="F29" s="59">
        <f t="shared" si="6"/>
        <v>3310</v>
      </c>
      <c r="G29" s="59">
        <f t="shared" si="6"/>
        <v>0</v>
      </c>
      <c r="H29" s="59">
        <f t="shared" si="6"/>
        <v>0</v>
      </c>
      <c r="I29" s="59">
        <f t="shared" si="6"/>
        <v>13910</v>
      </c>
      <c r="J29" s="59">
        <f t="shared" si="6"/>
        <v>0</v>
      </c>
      <c r="K29" s="59">
        <f t="shared" si="6"/>
        <v>0</v>
      </c>
      <c r="L29" s="344">
        <f t="shared" si="1"/>
        <v>76332</v>
      </c>
      <c r="M29" s="59">
        <f t="shared" si="6"/>
        <v>854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56004</v>
      </c>
      <c r="D32" s="59">
        <f t="shared" si="7"/>
        <v>3108</v>
      </c>
      <c r="E32" s="59">
        <f t="shared" si="7"/>
        <v>0</v>
      </c>
      <c r="F32" s="59">
        <f t="shared" si="7"/>
        <v>3310</v>
      </c>
      <c r="G32" s="59">
        <f t="shared" si="7"/>
        <v>0</v>
      </c>
      <c r="H32" s="59">
        <f t="shared" si="7"/>
        <v>0</v>
      </c>
      <c r="I32" s="59">
        <f t="shared" si="7"/>
        <v>13910</v>
      </c>
      <c r="J32" s="59">
        <f t="shared" si="7"/>
        <v>0</v>
      </c>
      <c r="K32" s="59">
        <f t="shared" si="7"/>
        <v>0</v>
      </c>
      <c r="L32" s="344">
        <f t="shared" si="1"/>
        <v>76332</v>
      </c>
      <c r="M32" s="59">
        <f>M29+M30+M31</f>
        <v>854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1" t="s">
        <v>861</v>
      </c>
      <c r="E38" s="591"/>
      <c r="F38" s="591"/>
      <c r="G38" s="591"/>
      <c r="H38" s="591"/>
      <c r="I38" s="591"/>
      <c r="J38" s="15" t="s">
        <v>865</v>
      </c>
      <c r="K38" s="15"/>
      <c r="L38" s="591" t="s">
        <v>864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R9" sqref="R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383</v>
      </c>
      <c r="B2" s="598"/>
      <c r="C2" s="599" t="str">
        <f>'справка №1-БАЛАНС'!E3</f>
        <v>МЕКОМ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118502239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към 31.12.2008 г.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11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11" t="s">
        <v>528</v>
      </c>
      <c r="R5" s="611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2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2"/>
      <c r="R6" s="612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474</v>
      </c>
      <c r="E9" s="189">
        <v>101</v>
      </c>
      <c r="F9" s="189">
        <v>53</v>
      </c>
      <c r="G9" s="74">
        <f>D9+E9-F9</f>
        <v>522</v>
      </c>
      <c r="H9" s="65"/>
      <c r="I9" s="65"/>
      <c r="J9" s="74">
        <f>G9+H9-I9</f>
        <v>522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522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22245</v>
      </c>
      <c r="E10" s="189">
        <v>1328</v>
      </c>
      <c r="F10" s="189">
        <v>1277</v>
      </c>
      <c r="G10" s="74">
        <f aca="true" t="shared" si="2" ref="G10:G39">D10+E10-F10</f>
        <v>22296</v>
      </c>
      <c r="H10" s="65"/>
      <c r="I10" s="65"/>
      <c r="J10" s="74">
        <f aca="true" t="shared" si="3" ref="J10:J39">G10+H10-I10</f>
        <v>22296</v>
      </c>
      <c r="K10" s="65">
        <v>3695</v>
      </c>
      <c r="L10" s="65">
        <v>830</v>
      </c>
      <c r="M10" s="65">
        <v>152</v>
      </c>
      <c r="N10" s="74">
        <f aca="true" t="shared" si="4" ref="N10:N39">K10+L10-M10</f>
        <v>4373</v>
      </c>
      <c r="O10" s="65"/>
      <c r="P10" s="65"/>
      <c r="Q10" s="74">
        <f t="shared" si="0"/>
        <v>4373</v>
      </c>
      <c r="R10" s="74">
        <f t="shared" si="1"/>
        <v>17923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16204</v>
      </c>
      <c r="E11" s="189">
        <v>3564</v>
      </c>
      <c r="F11" s="189">
        <v>4721</v>
      </c>
      <c r="G11" s="74">
        <f t="shared" si="2"/>
        <v>15047</v>
      </c>
      <c r="H11" s="65"/>
      <c r="I11" s="65"/>
      <c r="J11" s="74">
        <f t="shared" si="3"/>
        <v>15047</v>
      </c>
      <c r="K11" s="65">
        <v>8207</v>
      </c>
      <c r="L11" s="65">
        <v>2015</v>
      </c>
      <c r="M11" s="65">
        <v>2805</v>
      </c>
      <c r="N11" s="74">
        <f t="shared" si="4"/>
        <v>7417</v>
      </c>
      <c r="O11" s="65"/>
      <c r="P11" s="65"/>
      <c r="Q11" s="74">
        <f t="shared" si="0"/>
        <v>7417</v>
      </c>
      <c r="R11" s="74">
        <f t="shared" si="1"/>
        <v>7630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3886</v>
      </c>
      <c r="E12" s="189"/>
      <c r="F12" s="189">
        <v>832</v>
      </c>
      <c r="G12" s="74">
        <f t="shared" si="2"/>
        <v>3054</v>
      </c>
      <c r="H12" s="65"/>
      <c r="I12" s="65"/>
      <c r="J12" s="74">
        <f t="shared" si="3"/>
        <v>3054</v>
      </c>
      <c r="K12" s="65">
        <v>603</v>
      </c>
      <c r="L12" s="65">
        <v>136</v>
      </c>
      <c r="M12" s="65">
        <v>88</v>
      </c>
      <c r="N12" s="74">
        <f t="shared" si="4"/>
        <v>651</v>
      </c>
      <c r="O12" s="65"/>
      <c r="P12" s="65"/>
      <c r="Q12" s="74">
        <f t="shared" si="0"/>
        <v>651</v>
      </c>
      <c r="R12" s="74">
        <f t="shared" si="1"/>
        <v>2403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2653</v>
      </c>
      <c r="E13" s="189">
        <v>716</v>
      </c>
      <c r="F13" s="189">
        <v>46</v>
      </c>
      <c r="G13" s="74">
        <f t="shared" si="2"/>
        <v>3323</v>
      </c>
      <c r="H13" s="65"/>
      <c r="I13" s="65"/>
      <c r="J13" s="74">
        <f t="shared" si="3"/>
        <v>3323</v>
      </c>
      <c r="K13" s="65">
        <v>879</v>
      </c>
      <c r="L13" s="65">
        <v>254</v>
      </c>
      <c r="M13" s="65">
        <v>26</v>
      </c>
      <c r="N13" s="74">
        <f t="shared" si="4"/>
        <v>1107</v>
      </c>
      <c r="O13" s="65"/>
      <c r="P13" s="65"/>
      <c r="Q13" s="74">
        <f t="shared" si="0"/>
        <v>1107</v>
      </c>
      <c r="R13" s="74">
        <f t="shared" si="1"/>
        <v>2216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2927</v>
      </c>
      <c r="E16" s="189">
        <v>687</v>
      </c>
      <c r="F16" s="189">
        <v>734</v>
      </c>
      <c r="G16" s="74">
        <f t="shared" si="2"/>
        <v>2880</v>
      </c>
      <c r="H16" s="65"/>
      <c r="I16" s="65"/>
      <c r="J16" s="74">
        <f t="shared" si="3"/>
        <v>2880</v>
      </c>
      <c r="K16" s="65">
        <v>595</v>
      </c>
      <c r="L16" s="65">
        <v>52</v>
      </c>
      <c r="M16" s="65">
        <v>140</v>
      </c>
      <c r="N16" s="74">
        <f t="shared" si="4"/>
        <v>507</v>
      </c>
      <c r="O16" s="65"/>
      <c r="P16" s="65"/>
      <c r="Q16" s="74">
        <f aca="true" t="shared" si="5" ref="Q16:Q25">N16+O16-P16</f>
        <v>507</v>
      </c>
      <c r="R16" s="74">
        <f aca="true" t="shared" si="6" ref="R16:R25">J16-Q16</f>
        <v>2373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48389</v>
      </c>
      <c r="E17" s="194">
        <f>SUM(E9:E16)</f>
        <v>6396</v>
      </c>
      <c r="F17" s="194">
        <f>SUM(F9:F16)</f>
        <v>7663</v>
      </c>
      <c r="G17" s="74">
        <f t="shared" si="2"/>
        <v>47122</v>
      </c>
      <c r="H17" s="75">
        <f>SUM(H9:H16)</f>
        <v>0</v>
      </c>
      <c r="I17" s="75">
        <f>SUM(I9:I16)</f>
        <v>0</v>
      </c>
      <c r="J17" s="74">
        <f t="shared" si="3"/>
        <v>47122</v>
      </c>
      <c r="K17" s="75">
        <f>SUM(K9:K16)</f>
        <v>13979</v>
      </c>
      <c r="L17" s="75">
        <f>SUM(L9:L16)</f>
        <v>3287</v>
      </c>
      <c r="M17" s="75">
        <f>SUM(M9:M16)</f>
        <v>3211</v>
      </c>
      <c r="N17" s="74">
        <f t="shared" si="4"/>
        <v>14055</v>
      </c>
      <c r="O17" s="75">
        <f>SUM(O9:O16)</f>
        <v>0</v>
      </c>
      <c r="P17" s="75">
        <f>SUM(P9:P16)</f>
        <v>0</v>
      </c>
      <c r="Q17" s="74">
        <f t="shared" si="5"/>
        <v>14055</v>
      </c>
      <c r="R17" s="74">
        <f t="shared" si="6"/>
        <v>33067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14</v>
      </c>
      <c r="E22" s="189"/>
      <c r="F22" s="189">
        <v>1</v>
      </c>
      <c r="G22" s="74">
        <f t="shared" si="2"/>
        <v>13</v>
      </c>
      <c r="H22" s="65"/>
      <c r="I22" s="65"/>
      <c r="J22" s="74">
        <f t="shared" si="3"/>
        <v>13</v>
      </c>
      <c r="K22" s="65">
        <v>10</v>
      </c>
      <c r="L22" s="65">
        <v>1</v>
      </c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14</v>
      </c>
      <c r="E25" s="190">
        <f aca="true" t="shared" si="7" ref="E25:P25">SUM(E21:E24)</f>
        <v>0</v>
      </c>
      <c r="F25" s="190">
        <f t="shared" si="7"/>
        <v>1</v>
      </c>
      <c r="G25" s="67">
        <f t="shared" si="2"/>
        <v>13</v>
      </c>
      <c r="H25" s="66">
        <f t="shared" si="7"/>
        <v>0</v>
      </c>
      <c r="I25" s="66">
        <f t="shared" si="7"/>
        <v>0</v>
      </c>
      <c r="J25" s="67">
        <f t="shared" si="3"/>
        <v>13</v>
      </c>
      <c r="K25" s="66">
        <f t="shared" si="7"/>
        <v>10</v>
      </c>
      <c r="L25" s="66">
        <f t="shared" si="7"/>
        <v>1</v>
      </c>
      <c r="M25" s="66">
        <f t="shared" si="7"/>
        <v>0</v>
      </c>
      <c r="N25" s="67">
        <f t="shared" si="4"/>
        <v>11</v>
      </c>
      <c r="O25" s="66">
        <f t="shared" si="7"/>
        <v>0</v>
      </c>
      <c r="P25" s="66">
        <f t="shared" si="7"/>
        <v>0</v>
      </c>
      <c r="Q25" s="67">
        <f t="shared" si="5"/>
        <v>11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1245</v>
      </c>
      <c r="E27" s="192">
        <f aca="true" t="shared" si="8" ref="E27:P27">SUM(E28:E31)</f>
        <v>0</v>
      </c>
      <c r="F27" s="192">
        <f t="shared" si="8"/>
        <v>845</v>
      </c>
      <c r="G27" s="71">
        <f t="shared" si="2"/>
        <v>400</v>
      </c>
      <c r="H27" s="70">
        <f t="shared" si="8"/>
        <v>0</v>
      </c>
      <c r="I27" s="70">
        <f t="shared" si="8"/>
        <v>0</v>
      </c>
      <c r="J27" s="71">
        <f t="shared" si="3"/>
        <v>400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1245</v>
      </c>
      <c r="E31" s="189"/>
      <c r="F31" s="189">
        <v>845</v>
      </c>
      <c r="G31" s="74">
        <f t="shared" si="2"/>
        <v>400</v>
      </c>
      <c r="H31" s="72"/>
      <c r="I31" s="72"/>
      <c r="J31" s="74">
        <f t="shared" si="3"/>
        <v>400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400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1245</v>
      </c>
      <c r="E38" s="194">
        <f aca="true" t="shared" si="12" ref="E38:P38">E27+E32+E37</f>
        <v>0</v>
      </c>
      <c r="F38" s="194">
        <f t="shared" si="12"/>
        <v>845</v>
      </c>
      <c r="G38" s="74">
        <f t="shared" si="2"/>
        <v>400</v>
      </c>
      <c r="H38" s="75">
        <f t="shared" si="12"/>
        <v>0</v>
      </c>
      <c r="I38" s="75">
        <f t="shared" si="12"/>
        <v>0</v>
      </c>
      <c r="J38" s="74">
        <f t="shared" si="3"/>
        <v>400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400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49648</v>
      </c>
      <c r="E40" s="438">
        <f>E17+E18+E19+E25+E38+E39</f>
        <v>6396</v>
      </c>
      <c r="F40" s="438">
        <f aca="true" t="shared" si="13" ref="F40:R40">F17+F18+F19+F25+F38+F39</f>
        <v>8509</v>
      </c>
      <c r="G40" s="438">
        <f t="shared" si="13"/>
        <v>47535</v>
      </c>
      <c r="H40" s="438">
        <f t="shared" si="13"/>
        <v>0</v>
      </c>
      <c r="I40" s="438">
        <f t="shared" si="13"/>
        <v>0</v>
      </c>
      <c r="J40" s="438">
        <f t="shared" si="13"/>
        <v>47535</v>
      </c>
      <c r="K40" s="438">
        <f t="shared" si="13"/>
        <v>13989</v>
      </c>
      <c r="L40" s="438">
        <f t="shared" si="13"/>
        <v>3288</v>
      </c>
      <c r="M40" s="438">
        <f t="shared" si="13"/>
        <v>3211</v>
      </c>
      <c r="N40" s="438">
        <f t="shared" si="13"/>
        <v>14066</v>
      </c>
      <c r="O40" s="438">
        <f t="shared" si="13"/>
        <v>0</v>
      </c>
      <c r="P40" s="438">
        <f t="shared" si="13"/>
        <v>0</v>
      </c>
      <c r="Q40" s="438">
        <f t="shared" si="13"/>
        <v>14066</v>
      </c>
      <c r="R40" s="438">
        <f t="shared" si="13"/>
        <v>33469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608"/>
      <c r="L44" s="608"/>
      <c r="M44" s="608"/>
      <c r="N44" s="608"/>
      <c r="O44" s="609" t="s">
        <v>862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65" sqref="C6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МЕКОМ АД</v>
      </c>
      <c r="C3" s="620"/>
      <c r="D3" s="526" t="s">
        <v>2</v>
      </c>
      <c r="E3" s="107">
        <f>'справка №1-БАЛАНС'!H3</f>
        <v>118502239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31.12.2008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13502</v>
      </c>
      <c r="D16" s="119">
        <f>+D17+D18</f>
        <v>0</v>
      </c>
      <c r="E16" s="120">
        <f t="shared" si="0"/>
        <v>13502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>
        <v>13502</v>
      </c>
      <c r="D18" s="108"/>
      <c r="E18" s="120">
        <f t="shared" si="0"/>
        <v>13502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13502</v>
      </c>
      <c r="D19" s="104">
        <f>D11+D15+D16</f>
        <v>0</v>
      </c>
      <c r="E19" s="118">
        <f>E11+E15+E16</f>
        <v>13502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6976</v>
      </c>
      <c r="D28" s="108">
        <v>6976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11834</v>
      </c>
      <c r="D30" s="108">
        <v>11834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1297</v>
      </c>
      <c r="D33" s="105">
        <f>SUM(D34:D37)</f>
        <v>1297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1297</v>
      </c>
      <c r="D35" s="108">
        <v>1297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2579</v>
      </c>
      <c r="D38" s="105">
        <f>SUM(D39:D42)</f>
        <v>2579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2579</v>
      </c>
      <c r="D42" s="108">
        <v>2579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22686</v>
      </c>
      <c r="D43" s="104">
        <f>D24+D28+D29+D31+D30+D32+D33+D38</f>
        <v>22686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36188</v>
      </c>
      <c r="D44" s="103">
        <f>D43+D21+D19+D9</f>
        <v>22686</v>
      </c>
      <c r="E44" s="118">
        <f>E43+E21+E19+E9</f>
        <v>13502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27284</v>
      </c>
      <c r="D56" s="103">
        <f>D57+D59</f>
        <v>0</v>
      </c>
      <c r="E56" s="119">
        <f t="shared" si="1"/>
        <v>27284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27284</v>
      </c>
      <c r="D57" s="108"/>
      <c r="E57" s="119">
        <f t="shared" si="1"/>
        <v>27284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269</v>
      </c>
      <c r="D64" s="108"/>
      <c r="E64" s="119">
        <f t="shared" si="1"/>
        <v>269</v>
      </c>
      <c r="F64" s="110"/>
    </row>
    <row r="65" spans="1:6" ht="12">
      <c r="A65" s="396" t="s">
        <v>707</v>
      </c>
      <c r="B65" s="397" t="s">
        <v>708</v>
      </c>
      <c r="C65" s="109">
        <v>247</v>
      </c>
      <c r="D65" s="109"/>
      <c r="E65" s="119">
        <f t="shared" si="1"/>
        <v>247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27553</v>
      </c>
      <c r="D66" s="103">
        <f>D52+D56+D61+D62+D63+D64</f>
        <v>0</v>
      </c>
      <c r="E66" s="119">
        <f t="shared" si="1"/>
        <v>27553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316</v>
      </c>
      <c r="D68" s="108"/>
      <c r="E68" s="119">
        <f t="shared" si="1"/>
        <v>316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7907</v>
      </c>
      <c r="D75" s="103">
        <f>D76+D78</f>
        <v>7907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7907</v>
      </c>
      <c r="D76" s="108">
        <v>7907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9581</v>
      </c>
      <c r="D85" s="104">
        <f>SUM(D86:D90)+D94</f>
        <v>9581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>
        <v>147</v>
      </c>
      <c r="D86" s="108">
        <v>147</v>
      </c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8499</v>
      </c>
      <c r="D87" s="108">
        <v>8499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/>
      <c r="D88" s="108"/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236</v>
      </c>
      <c r="D89" s="108">
        <v>236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640</v>
      </c>
      <c r="D90" s="103">
        <f>SUM(D91:D93)</f>
        <v>640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640</v>
      </c>
      <c r="D91" s="108">
        <v>640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59</v>
      </c>
      <c r="D94" s="108">
        <v>59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364</v>
      </c>
      <c r="D95" s="108">
        <v>364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17852</v>
      </c>
      <c r="D96" s="104">
        <f>D85+D80+D75+D71+D95</f>
        <v>17852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45721</v>
      </c>
      <c r="D97" s="104">
        <f>D96+D68+D66</f>
        <v>17852</v>
      </c>
      <c r="E97" s="104">
        <f>E96+E68+E66</f>
        <v>27869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869</v>
      </c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4">
      <selection activeCell="C19" sqref="C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МЕКОМ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118502239</v>
      </c>
    </row>
    <row r="5" spans="1:9" ht="15">
      <c r="A5" s="501" t="s">
        <v>5</v>
      </c>
      <c r="B5" s="622" t="str">
        <f>'справка №1-БАЛАНС'!E5</f>
        <v>към 31.12.2008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400</v>
      </c>
      <c r="D19" s="98"/>
      <c r="E19" s="98"/>
      <c r="F19" s="98">
        <v>400</v>
      </c>
      <c r="G19" s="98"/>
      <c r="H19" s="98"/>
      <c r="I19" s="434">
        <f t="shared" si="0"/>
        <v>400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400</v>
      </c>
      <c r="D26" s="85">
        <f t="shared" si="2"/>
        <v>0</v>
      </c>
      <c r="E26" s="85">
        <f t="shared" si="2"/>
        <v>0</v>
      </c>
      <c r="F26" s="85">
        <f t="shared" si="2"/>
        <v>400</v>
      </c>
      <c r="G26" s="85">
        <f t="shared" si="2"/>
        <v>0</v>
      </c>
      <c r="H26" s="85">
        <f t="shared" si="2"/>
        <v>0</v>
      </c>
      <c r="I26" s="434">
        <f t="shared" si="0"/>
        <v>400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4"/>
      <c r="C30" s="624"/>
      <c r="D30" s="459" t="s">
        <v>817</v>
      </c>
      <c r="E30" s="623" t="s">
        <v>863</v>
      </c>
      <c r="F30" s="623"/>
      <c r="G30" s="623"/>
      <c r="H30" s="420" t="s">
        <v>862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МЕКОМ АД</v>
      </c>
      <c r="C5" s="628"/>
      <c r="D5" s="628"/>
      <c r="E5" s="570" t="s">
        <v>2</v>
      </c>
      <c r="F5" s="451">
        <f>'справка №1-БАЛАНС'!H3</f>
        <v>118502239</v>
      </c>
    </row>
    <row r="6" spans="1:13" ht="15" customHeight="1">
      <c r="A6" s="27" t="s">
        <v>820</v>
      </c>
      <c r="B6" s="629" t="str">
        <f>'справка №1-БАЛАНС'!E5</f>
        <v>към 31.12.2008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860</v>
      </c>
      <c r="B63" s="40"/>
      <c r="C63" s="441">
        <v>400</v>
      </c>
      <c r="D63" s="441">
        <v>50</v>
      </c>
      <c r="E63" s="441"/>
      <c r="F63" s="443">
        <f>C63-E63</f>
        <v>400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867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400</v>
      </c>
      <c r="D78" s="429"/>
      <c r="E78" s="429">
        <f>SUM(E63:E77)</f>
        <v>0</v>
      </c>
      <c r="F78" s="442">
        <f>SUM(F63:F77)</f>
        <v>400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400</v>
      </c>
      <c r="D79" s="429"/>
      <c r="E79" s="429">
        <f>E78+E61+E44+E27</f>
        <v>0</v>
      </c>
      <c r="F79" s="442">
        <f>F78+F61+F44+F27</f>
        <v>400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0" t="s">
        <v>861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862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</cp:lastModifiedBy>
  <cp:lastPrinted>2009-02-28T14:04:37Z</cp:lastPrinted>
  <dcterms:created xsi:type="dcterms:W3CDTF">2000-06-29T12:02:40Z</dcterms:created>
  <dcterms:modified xsi:type="dcterms:W3CDTF">2009-02-28T14:53:21Z</dcterms:modified>
  <cp:category/>
  <cp:version/>
  <cp:contentType/>
  <cp:contentStatus/>
</cp:coreProperties>
</file>