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18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№4-ОСК'!$A$1:$N$40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<sst xmlns="http://schemas.openxmlformats.org/spreadsheetml/2006/main" count="1062" uniqueCount="876">
  <si>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</si>
  <si>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</si>
  <si>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</si>
  <si>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</si>
  <si>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</si>
  <si>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</si>
  <si>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</si>
  <si>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</si>
  <si>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</si>
  <si>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</si>
  <si>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</si>
  <si>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</si>
  <si>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</si>
  <si>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</si>
  <si>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</si>
  <si>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</si>
  <si>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</si>
  <si>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</si>
  <si>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</si>
  <si>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</si>
  <si>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</si>
  <si>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</si>
  <si>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</si>
  <si>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</si>
  <si>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</si>
  <si>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</si>
  <si>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</si>
  <si>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</si>
  <si>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</si>
  <si>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</si>
  <si>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</si>
  <si>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</si>
  <si>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</si>
  <si>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</si>
  <si>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</si>
  <si>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</si>
  <si>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</si>
  <si>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</si>
  <si>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</si>
  <si>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</si>
  <si>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</si>
  <si>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</si>
  <si>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</si>
  <si>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</si>
  <si>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</si>
  <si>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</si>
  <si>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</si>
  <si>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</si>
  <si>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</si>
  <si>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</si>
  <si>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</si>
  <si>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</si>
  <si>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</si>
  <si>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</si>
  <si>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</si>
  <si>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</si>
  <si>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</si>
  <si>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</si>
  <si>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</si>
  <si>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</si>
  <si>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</si>
  <si>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</si>
  <si>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</si>
  <si>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</si>
  <si>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</si>
  <si>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</si>
  <si>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</si>
  <si>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</si>
  <si>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</si>
  <si>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</si>
  <si>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</si>
  <si>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</si>
  <si>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</si>
  <si>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</si>
  <si>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</si>
  <si>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</si>
  <si>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</si>
  <si>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</si>
  <si>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</si>
  <si>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</si>
  <si>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</si>
  <si>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</si>
  <si>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</si>
  <si>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</si>
  <si>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</si>
  <si>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</si>
  <si>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</si>
  <si>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</si>
  <si>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</si>
  <si>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</si>
  <si>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</si>
  <si>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</si>
  <si>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</si>
  <si>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</si>
  <si>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</si>
  <si>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</si>
  <si>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</si>
  <si>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</si>
  <si>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</si>
  <si>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</si>
  <si>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</si>
  <si>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</si>
  <si>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</si>
  <si>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</si>
  <si>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</si>
  <si>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</si>
  <si>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</si>
  <si>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</si>
  <si>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</si>
  <si>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</si>
  <si>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</si>
  <si>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</si>
  <si>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</si>
  <si>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</si>
  <si>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</si>
  <si>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</si>
  <si>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</si>
  <si>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</si>
  <si>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</si>
  <si>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</si>
  <si>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</si>
  <si>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</si>
  <si>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</si>
  <si>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</si>
  <si>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</si>
  <si>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</si>
  <si>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</si>
  <si>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</si>
  <si>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</si>
  <si>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</si>
  <si>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</si>
  <si>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</si>
  <si>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</si>
  <si>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</si>
  <si>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</si>
  <si>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</si>
  <si>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</si>
  <si>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</si>
  <si>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</si>
  <si>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</si>
  <si>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</si>
  <si>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</si>
  <si>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</si>
  <si>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</si>
  <si>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</si>
  <si>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</si>
  <si>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</si>
  <si>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</si>
  <si>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</si>
  <si>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</si>
  <si>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</si>
  <si>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</si>
  <si>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</si>
  <si>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</si>
  <si>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</si>
  <si>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</si>
  <si>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</si>
  <si>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</si>
  <si>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</si>
  <si>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</si>
  <si>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</si>
  <si>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</si>
  <si>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</si>
  <si>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</si>
  <si>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</si>
  <si>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</si>
  <si>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</si>
  <si>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</si>
  <si>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</si>
  <si>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</si>
  <si>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</si>
  <si>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</si>
  <si>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</si>
  <si>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</si>
  <si>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</si>
  <si>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</si>
  <si>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</si>
  <si>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</si>
  <si>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</si>
  <si>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</si>
  <si>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</si>
  <si>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</si>
  <si>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</si>
  <si>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</si>
  <si>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</si>
  <si>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</si>
  <si>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</si>
  <si>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</si>
  <si>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</si>
  <si>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</si>
  <si>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</si>
  <si>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</si>
  <si>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</si>
  <si>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</si>
  <si>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</si>
  <si>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</si>
  <si>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</si>
  <si>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</si>
  <si>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</si>
  <si>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</si>
  <si>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</si>
  <si>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</si>
  <si>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</si>
  <si>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</si>
  <si>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</si>
  <si>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</si>
  <si>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</si>
  <si>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</si>
  <si>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</si>
  <si>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</si>
  <si>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</si>
  <si>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</si>
  <si>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</si>
  <si>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</si>
  <si>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</si>
  <si>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</si>
  <si>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</si>
  <si>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</si>
  <si>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</si>
  <si>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</si>
  <si>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</si>
  <si>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</si>
  <si>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</si>
  <si>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</si>
  <si>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</si>
  <si>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</si>
  <si>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</si>
  <si>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</si>
  <si>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</si>
  <si>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</si>
  <si>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</si>
  <si>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</si>
  <si>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</si>
  <si>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</si>
  <si>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</si>
  <si>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</si>
  <si>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</si>
  <si>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</si>
  <si>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</si>
  <si>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</si>
  <si>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</si>
  <si>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</si>
  <si>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</si>
  <si>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</si>
  <si>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</si>
  <si>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</si>
  <si>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</si>
  <si>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</si>
  <si>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</si>
  <si>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</si>
  <si>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</si>
  <si>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</si>
  <si>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</si>
  <si>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</si>
  <si>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</si>
  <si>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</si>
  <si>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</si>
  <si>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</si>
  <si>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</si>
  <si>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</si>
  <si>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</si>
  <si>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</si>
  <si>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</si>
  <si>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</si>
  <si>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</si>
  <si>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</si>
  <si>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</si>
  <si>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</si>
  <si>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</si>
  <si>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</si>
  <si>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</si>
  <si>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</si>
  <si>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</si>
  <si>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</si>
  <si>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</si>
  <si>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</si>
  <si>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</si>
  <si>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</si>
  <si>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</si>
  <si>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</si>
  <si>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</si>
  <si>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</si>
  <si>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</si>
  <si>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</si>
  <si>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</si>
  <si>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</si>
  <si>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</si>
  <si>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</si>
  <si>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</si>
  <si>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</si>
  <si>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</si>
  <si>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</si>
  <si>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</si>
  <si>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</si>
  <si>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</si>
  <si>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</si>
  <si>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</si>
  <si>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</si>
  <si>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</si>
  <si>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</si>
  <si>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</si>
  <si>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</si>
  <si>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</si>
  <si>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</si>
  <si>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</si>
  <si>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</si>
  <si>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</si>
  <si>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</si>
  <si>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</si>
  <si>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</si>
  <si>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</si>
  <si>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</si>
  <si>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</si>
  <si>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</si>
  <si>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</si>
  <si>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</si>
  <si>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</si>
  <si>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</si>
  <si>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</si>
  <si>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</si>
  <si>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</si>
  <si>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</si>
  <si>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</si>
  <si>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</si>
  <si>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</si>
  <si>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</si>
  <si>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</si>
  <si>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</si>
  <si>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</si>
  <si>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</si>
  <si>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</si>
  <si>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</si>
  <si>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</si>
  <si>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</si>
  <si>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</si>
  <si>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</si>
  <si>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</si>
  <si>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</si>
  <si>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</si>
  <si>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</si>
  <si>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</si>
  <si>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</si>
  <si>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</si>
  <si>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</si>
  <si>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</si>
  <si>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</si>
  <si>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</si>
  <si>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</si>
  <si>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</si>
  <si>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</si>
  <si>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</si>
  <si>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</si>
  <si>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</si>
  <si>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</si>
  <si>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</si>
  <si>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</si>
  <si>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</si>
  <si>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</si>
  <si>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</si>
  <si>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</si>
  <si>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</si>
  <si>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</si>
  <si>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</si>
  <si>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</si>
  <si>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</si>
  <si>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</si>
  <si>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</si>
  <si>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</si>
  <si>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</si>
  <si>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</si>
  <si>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</si>
  <si>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</si>
  <si>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</si>
  <si>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</si>
  <si>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</si>
  <si>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</si>
  <si>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</si>
  <si>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</si>
  <si>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</si>
  <si>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</si>
  <si>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</si>
  <si>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</si>
  <si>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</si>
  <si>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</si>
  <si>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</si>
  <si>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</si>
  <si>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</si>
  <si>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</si>
  <si>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</si>
  <si>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</si>
  <si>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</si>
  <si>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</si>
  <si>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</si>
  <si>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</si>
  <si>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</si>
  <si>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</si>
  <si>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</si>
  <si>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</si>
  <si>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</si>
  <si>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</si>
  <si>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</si>
  <si>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</si>
  <si>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</si>
  <si>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</si>
  <si>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</si>
  <si>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</si>
  <si>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</si>
  <si>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</si>
  <si>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</si>
  <si>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</si>
  <si>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</si>
  <si>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</si>
  <si>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</si>
  <si>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</si>
  <si>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</si>
  <si>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</si>
  <si>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</si>
  <si>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</si>
  <si>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</si>
  <si>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</si>
  <si>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</si>
  <si>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</si>
  <si>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</si>
  <si>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</si>
  <si>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</si>
  <si>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</si>
  <si>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</si>
  <si>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</si>
  <si>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</si>
  <si>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</si>
  <si>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</si>
  <si>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</si>
  <si>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</si>
  <si>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</si>
  <si>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</si>
  <si>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</si>
  <si>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</si>
  <si>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</si>
  <si>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</si>
  <si>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</si>
  <si>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</si>
  <si>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</si>
  <si>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</si>
  <si>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</si>
  <si>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</si>
  <si>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</si>
  <si>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</si>
  <si>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</si>
  <si>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</si>
  <si>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</si>
  <si>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</si>
  <si>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</si>
  <si>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</si>
  <si>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</si>
  <si>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</si>
  <si>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</si>
  <si>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</si>
  <si>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</si>
  <si>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</si>
  <si>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</si>
  <si>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</si>
  <si>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</si>
  <si>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</si>
  <si>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</si>
  <si>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</si>
  <si>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</si>
  <si>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</si>
  <si>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</si>
  <si>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</si>
  <si>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</si>
  <si>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</si>
  <si>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</si>
  <si>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</si>
  <si>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</si>
  <si>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</si>
  <si>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</si>
  <si>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</si>
  <si>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</si>
  <si>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</si>
  <si>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</si>
  <si>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</si>
  <si>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</si>
  <si>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</si>
  <si>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</si>
  <si>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</si>
  <si>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</si>
  <si>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</si>
  <si>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</si>
  <si>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</si>
  <si>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</si>
  <si>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</si>
  <si>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</si>
  <si>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</si>
  <si>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</si>
  <si>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</si>
  <si>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</si>
  <si>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</si>
  <si>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</si>
  <si>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</si>
  <si>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</si>
  <si>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</si>
  <si>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</si>
  <si>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</si>
  <si>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</si>
  <si>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</si>
  <si>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</si>
  <si>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</si>
  <si>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</si>
  <si>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</si>
  <si>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</si>
  <si>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</si>
  <si>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</si>
  <si>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</si>
  <si>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</si>
  <si>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</si>
  <si>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</si>
  <si>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</si>
  <si>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</si>
  <si>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</si>
  <si>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</si>
  <si>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</si>
  <si>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</si>
  <si>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</si>
  <si>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</si>
  <si>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</si>
  <si>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</si>
  <si>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</si>
  <si>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</si>
  <si>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</si>
  <si>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</si>
  <si>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</si>
  <si>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</si>
  <si>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</si>
  <si>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</si>
  <si>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</si>
  <si>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</si>
  <si>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</si>
  <si>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</si>
  <si>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</si>
  <si>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</si>
  <si>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</si>
  <si>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</si>
  <si>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</si>
  <si>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</si>
  <si>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</si>
  <si>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</si>
  <si>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</si>
  <si>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</si>
  <si>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</si>
  <si>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</si>
  <si>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</si>
  <si>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</si>
  <si>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</si>
  <si>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</si>
  <si>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</si>
  <si>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</si>
  <si>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</si>
  <si>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</si>
  <si>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</si>
  <si>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</si>
  <si>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</si>
  <si>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</si>
  <si>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</si>
  <si>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</si>
  <si>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</si>
  <si>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</si>
  <si>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</si>
  <si>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</si>
  <si>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</si>
  <si>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</si>
  <si>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</si>
  <si>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</si>
  <si>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</si>
  <si>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</si>
  <si>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</si>
  <si>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</si>
  <si>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</si>
  <si>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</si>
  <si>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</si>
  <si>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</si>
  <si>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</si>
  <si>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</si>
  <si>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</si>
  <si>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</si>
  <si>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</si>
  <si>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</si>
  <si>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</si>
  <si>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</si>
  <si>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</si>
  <si>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</si>
  <si>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</si>
  <si>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</si>
  <si>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</si>
  <si>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</si>
  <si>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</si>
  <si>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</si>
  <si>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</si>
  <si>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</si>
  <si>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</si>
  <si>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</si>
  <si>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</si>
  <si>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</si>
  <si>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</si>
  <si>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</si>
  <si>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</si>
  <si>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</si>
  <si>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</si>
  <si>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</si>
  <si>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</si>
  <si>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</si>
  <si>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</si>
  <si>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</si>
  <si>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</si>
  <si>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</si>
  <si>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</si>
  <si>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</si>
  <si>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</si>
  <si>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</si>
  <si>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</si>
  <si>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</si>
  <si>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</si>
  <si>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</si>
  <si>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</si>
  <si>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</si>
  <si>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</si>
  <si>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</si>
  <si>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</si>
  <si>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</si>
  <si>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</si>
  <si>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</si>
  <si>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</si>
  <si>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</si>
  <si>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</si>
  <si>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</si>
  <si>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</si>
  <si>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</si>
  <si>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</si>
  <si>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</si>
  <si>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</si>
  <si>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</si>
  <si>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</si>
  <si>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</si>
  <si>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</si>
  <si>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</si>
  <si>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</si>
  <si>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</si>
  <si>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</si>
  <si>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</si>
  <si>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</si>
  <si>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</si>
  <si>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</si>
  <si>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</si>
  <si>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</si>
  <si>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</si>
  <si>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</si>
  <si>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</si>
  <si>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</si>
  <si>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</si>
  <si>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</si>
  <si>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</si>
  <si>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</si>
  <si>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</si>
  <si>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</si>
  <si>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</si>
  <si>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</si>
  <si>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</si>
  <si>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</si>
  <si>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</si>
  <si>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</si>
  <si>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</si>
  <si>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</si>
  <si>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</si>
  <si>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</si>
  <si>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</si>
  <si>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</si>
  <si>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</si>
  <si>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</si>
  <si>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</si>
  <si>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</si>
  <si>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</si>
  <si>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</si>
  <si>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</si>
  <si>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</si>
  <si>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</si>
  <si>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</si>
  <si>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</si>
  <si>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</si>
  <si>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</si>
  <si>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</si>
  <si>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</si>
  <si>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</si>
  <si>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</si>
  <si>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</si>
  <si>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</si>
  <si>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</si>
  <si>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</si>
  <si>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</si>
  <si>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</si>
  <si>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</si>
  <si>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</si>
  <si>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</si>
  <si>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</si>
  <si>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</si>
  <si>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</si>
  <si>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</si>
  <si>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</si>
  <si>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</si>
  <si>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</si>
  <si>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</si>
  <si>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</si>
  <si>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</si>
  <si>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</si>
  <si>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</si>
  <si>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</si>
  <si>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</si>
  <si>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</si>
  <si>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</si>
  <si>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</si>
  <si>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</si>
  <si>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</si>
  <si>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</si>
  <si>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</si>
  <si>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</si>
  <si>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</si>
  <si>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</si>
  <si>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</si>
  <si>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</si>
  <si>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</si>
  <si>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</si>
  <si>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</si>
  <si>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</si>
  <si>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</si>
  <si>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</si>
  <si>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</si>
  <si>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</si>
  <si>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</si>
  <si>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</si>
  <si>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</si>
  <si>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</si>
  <si>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</si>
  <si>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</si>
  <si>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</si>
  <si>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</si>
  <si>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</si>
  <si>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</si>
  <si>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</si>
  <si>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</si>
  <si>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</si>
  <si>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</si>
  <si>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</si>
  <si>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</si>
  <si>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</si>
  <si>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</si>
  <si>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</si>
  <si>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</si>
  <si>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</si>
  <si>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</si>
  <si>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</si>
  <si>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</si>
  <si>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</si>
  <si>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</si>
  <si>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</si>
  <si>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</si>
  <si>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</si>
  <si>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</si>
  <si>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</si>
  <si>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</si>
  <si>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</si>
  <si>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</si>
  <si>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</si>
  <si>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</si>
  <si>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</si>
  <si>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</si>
  <si>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</si>
  <si>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</si>
  <si>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</si>
  <si>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</si>
  <si>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</si>
  <si>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</si>
  <si>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</si>
  <si>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</si>
  <si>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</si>
  <si>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</si>
  <si>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</si>
  <si>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</si>
  <si>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</si>
  <si>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</si>
  <si>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</si>
  <si>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</si>
  <si>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</si>
  <si>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</si>
  <si>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</si>
  <si>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</si>
  <si>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</si>
  <si>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</si>
  <si>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</si>
  <si>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</si>
  <si>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</si>
  <si>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</si>
  <si>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</si>
  <si>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</si>
  <si>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</si>
  <si>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</si>
  <si>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</si>
  <si>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</si>
  <si>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</si>
  <si>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</si>
  <si>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</si>
  <si>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</si>
  <si>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</si>
  <si>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</si>
  <si>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</si>
  <si>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</si>
  <si>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</si>
  <si>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</si>
  <si>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</si>
  <si>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</si>
  <si>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</si>
  <si>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</si>
  <si>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</si>
  <si>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</si>
  <si>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</si>
  <si>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</si>
  <si>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</si>
  <si>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</si>
  <si>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</si>
  <si>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</si>
  <si>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</si>
  <si>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</si>
  <si>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</si>
  <si>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</si>
  <si>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</si>
  <si>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</si>
  <si>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</si>
  <si>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</si>
  <si>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</si>
  <si>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</si>
  <si>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</si>
  <si>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</si>
  <si>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</si>
  <si>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</si>
  <si>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</si>
  <si>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</si>
  <si>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</si>
  <si>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</si>
  <si>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</si>
  <si>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</si>
  <si>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</si>
  <si>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</si>
  <si>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</si>
  <si>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</si>
  <si>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</si>
  <si>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</si>
  <si>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</si>
  <si>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</si>
  <si>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</si>
  <si>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</si>
  <si>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</si>
  <si>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</si>
  <si>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</si>
  <si>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</si>
  <si>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</si>
  <si>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</si>
  <si>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</si>
  <si>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</si>
  <si>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"Химимпорт" АД</t>
  </si>
  <si>
    <t>1.ПОАД Съгласие</t>
  </si>
  <si>
    <t>себестойностен</t>
  </si>
  <si>
    <t>консолидиран</t>
  </si>
  <si>
    <t>2.Каучук АД</t>
  </si>
  <si>
    <t>3.Кепитал Мениджмънт АДСИЦ</t>
  </si>
  <si>
    <t>4.Каварна Газ ООД</t>
  </si>
  <si>
    <t>5 АП Електротерм</t>
  </si>
  <si>
    <t>6 Луфтханза Техникс</t>
  </si>
  <si>
    <t>Дата на съставяне: 29.04.2008</t>
  </si>
  <si>
    <t>Дата на съставяне: 29,04,2008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</si>
</sst>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idation\neokonchatelni12.06\subbs\dina_chim\cons2006\BALANCE_all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idation\neokonchatelni12.06\subbs\dina_chim\cons2006\Consolidation2006_12_a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.Paskova\Desktop\consolid2006\godishen12.2006%20version%202\rabotna(1)\NotesWORKChimimportConsol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_all_posl12.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S%20Consol%2031%2012%202007%20WOR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idation\Okonchatelni2007l\fs2007-_G&amp;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_word"/>
      <sheetName val="Balance"/>
      <sheetName val="opr_word"/>
      <sheetName val="OPR "/>
      <sheetName val="segments"/>
      <sheetName val="B1PPE"/>
      <sheetName val="CFS"/>
    </sheetNames>
    <sheetDataSet>
      <sheetData sheetId="1">
        <row r="37">
          <cell r="AV37">
            <v>130000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OPR "/>
      <sheetName val="SChC"/>
      <sheetName val="CFS"/>
      <sheetName val="B1PPE"/>
      <sheetName val="B2IntA"/>
      <sheetName val="B3InvP"/>
      <sheetName val="B4GW"/>
      <sheetName val="B5Subs"/>
      <sheetName val="B6Assoc"/>
      <sheetName val="B7LRFA"/>
      <sheetName val="B8SRFA"/>
      <sheetName val="B9Invent"/>
      <sheetName val="B10TRec"/>
      <sheetName val="B11ORec"/>
      <sheetName val="B12Cash"/>
      <sheetName val="B13Lease"/>
      <sheetName val="B14DefTax"/>
      <sheetName val="B15ShCap"/>
      <sheetName val="B16Res"/>
      <sheetName val="B17LTFL"/>
      <sheetName val="B18STFL"/>
      <sheetName val="B19LROP"/>
      <sheetName val="B20T&amp;OPay"/>
      <sheetName val="B21LR groupR"/>
      <sheetName val="B22SR groupR"/>
      <sheetName val="B23LR groupP"/>
      <sheetName val="B24SR groupP"/>
      <sheetName val="B25related"/>
      <sheetName val="B26LR relatedR"/>
      <sheetName val="B27SR relatedR"/>
      <sheetName val="B28LR relatedP"/>
      <sheetName val="B29SR relatedP"/>
      <sheetName val="I1"/>
      <sheetName val="I2"/>
      <sheetName val="I1A"/>
      <sheetName val="I3"/>
      <sheetName val="I4"/>
      <sheetName val="I5"/>
      <sheetName val="I6"/>
      <sheetName val="I7"/>
      <sheetName val="I8"/>
      <sheetName val="I9"/>
      <sheetName val="I10"/>
      <sheetName val="I12"/>
      <sheetName val="I13"/>
      <sheetName val="I14"/>
      <sheetName val="I15"/>
      <sheetName val="I16"/>
      <sheetName val="I17"/>
      <sheetName val="I18"/>
      <sheetName val="I19"/>
      <sheetName val="I20"/>
      <sheetName val="I21"/>
      <sheetName val="I22"/>
      <sheetName val="I23"/>
      <sheetName val="I24"/>
      <sheetName val="I25"/>
      <sheetName val="I26"/>
      <sheetName val="I27"/>
      <sheetName val="I28"/>
      <sheetName val="I29"/>
      <sheetName val="I30"/>
      <sheetName val="I31"/>
      <sheetName val="I32"/>
      <sheetName val="I33"/>
      <sheetName val="I33A"/>
      <sheetName val="I34"/>
      <sheetName val="I35"/>
      <sheetName val="I36"/>
      <sheetName val="I37"/>
      <sheetName val="I38"/>
      <sheetName val="I39shares"/>
      <sheetName val="Changes IAS 8"/>
      <sheetName val="Events after Balance Sheet Date"/>
      <sheetName val="Impairment"/>
      <sheetName val="Contingent Liabilities &amp; Assets"/>
      <sheetName val="GT_Custom"/>
    </sheetNames>
    <sheetDataSet>
      <sheetData sheetId="15">
        <row r="9">
          <cell r="B9">
            <v>288788</v>
          </cell>
        </row>
        <row r="10">
          <cell r="B10">
            <v>68676</v>
          </cell>
        </row>
        <row r="11">
          <cell r="B11">
            <v>3432</v>
          </cell>
        </row>
        <row r="12">
          <cell r="B12">
            <v>12577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ChC"/>
      <sheetName val="segment"/>
      <sheetName val="PPE"/>
      <sheetName val="CFS"/>
      <sheetName val="InvP"/>
      <sheetName val="Gwill"/>
      <sheetName val="IntA"/>
      <sheetName val="LRFA"/>
      <sheetName val="SRFA"/>
      <sheetName val="OtherRec"/>
      <sheetName val="OLRL"/>
      <sheetName val="SRFL"/>
      <sheetName val="Ass"/>
      <sheetName val="rellated"/>
      <sheetName val="valuten"/>
      <sheetName val="LRFL"/>
      <sheetName val="lihwen risk"/>
      <sheetName val="tax"/>
      <sheetName val="P&amp;L"/>
      <sheetName val="uslovni"/>
      <sheetName val="Sheet1"/>
      <sheetName val="Notes"/>
      <sheetName val="GT_Custom"/>
    </sheetNames>
    <sheetDataSet>
      <sheetData sheetId="0">
        <row r="8">
          <cell r="C8">
            <v>11403</v>
          </cell>
        </row>
        <row r="10">
          <cell r="C10">
            <v>26445.460600000002</v>
          </cell>
        </row>
        <row r="11">
          <cell r="C11">
            <v>479185</v>
          </cell>
        </row>
        <row r="12">
          <cell r="C12">
            <v>94</v>
          </cell>
        </row>
        <row r="13">
          <cell r="C13">
            <v>412</v>
          </cell>
        </row>
        <row r="18">
          <cell r="C18">
            <v>358961</v>
          </cell>
        </row>
        <row r="19">
          <cell r="C19">
            <v>6210</v>
          </cell>
        </row>
        <row r="20">
          <cell r="C20">
            <v>74032</v>
          </cell>
        </row>
        <row r="36">
          <cell r="C36">
            <v>32925</v>
          </cell>
        </row>
        <row r="38">
          <cell r="C38">
            <v>70617.20075317637</v>
          </cell>
        </row>
        <row r="39">
          <cell r="C39">
            <v>53329.54999999999</v>
          </cell>
        </row>
        <row r="41">
          <cell r="C41">
            <v>61033</v>
          </cell>
        </row>
        <row r="43">
          <cell r="C43">
            <v>38122</v>
          </cell>
        </row>
        <row r="47">
          <cell r="C47">
            <v>40061</v>
          </cell>
        </row>
        <row r="49">
          <cell r="C49">
            <v>7760</v>
          </cell>
        </row>
        <row r="50">
          <cell r="C50">
            <v>1024</v>
          </cell>
        </row>
        <row r="51">
          <cell r="C51">
            <v>1349</v>
          </cell>
        </row>
        <row r="54">
          <cell r="C54">
            <v>771569</v>
          </cell>
        </row>
        <row r="55">
          <cell r="C55">
            <v>1037</v>
          </cell>
        </row>
        <row r="56">
          <cell r="C56">
            <v>81777</v>
          </cell>
        </row>
      </sheetData>
      <sheetData sheetId="3">
        <row r="37">
          <cell r="B37">
            <v>28668</v>
          </cell>
          <cell r="C37">
            <v>47025</v>
          </cell>
          <cell r="D37">
            <v>20244</v>
          </cell>
          <cell r="E37">
            <v>37661</v>
          </cell>
          <cell r="F37">
            <v>47254</v>
          </cell>
          <cell r="G37">
            <v>3372</v>
          </cell>
          <cell r="H37">
            <v>17230</v>
          </cell>
        </row>
      </sheetData>
      <sheetData sheetId="5">
        <row r="35">
          <cell r="D35">
            <v>10545</v>
          </cell>
        </row>
      </sheetData>
      <sheetData sheetId="7">
        <row r="34">
          <cell r="B34">
            <v>2</v>
          </cell>
          <cell r="C34">
            <v>1547</v>
          </cell>
          <cell r="D34">
            <v>33</v>
          </cell>
          <cell r="E34">
            <v>455</v>
          </cell>
          <cell r="F34">
            <v>4873</v>
          </cell>
        </row>
      </sheetData>
      <sheetData sheetId="9">
        <row r="105">
          <cell r="B105">
            <v>6834</v>
          </cell>
        </row>
        <row r="106">
          <cell r="B106">
            <v>6867</v>
          </cell>
        </row>
        <row r="108">
          <cell r="B108">
            <v>522</v>
          </cell>
        </row>
        <row r="116">
          <cell r="B116">
            <v>13604</v>
          </cell>
        </row>
        <row r="117">
          <cell r="B117">
            <v>3364</v>
          </cell>
        </row>
        <row r="118">
          <cell r="B118">
            <v>6462</v>
          </cell>
        </row>
        <row r="119">
          <cell r="B119">
            <v>5</v>
          </cell>
        </row>
        <row r="128">
          <cell r="B128">
            <v>35399</v>
          </cell>
        </row>
      </sheetData>
      <sheetData sheetId="10">
        <row r="6">
          <cell r="B6">
            <v>2745</v>
          </cell>
        </row>
        <row r="7">
          <cell r="B7">
            <v>1231</v>
          </cell>
        </row>
        <row r="8">
          <cell r="B8">
            <v>10842</v>
          </cell>
        </row>
        <row r="9">
          <cell r="B9">
            <v>13047</v>
          </cell>
        </row>
        <row r="10">
          <cell r="B10">
            <v>3488</v>
          </cell>
        </row>
        <row r="11">
          <cell r="B11">
            <v>21</v>
          </cell>
        </row>
        <row r="12">
          <cell r="B12">
            <v>2566</v>
          </cell>
        </row>
        <row r="13">
          <cell r="B13">
            <v>10002</v>
          </cell>
        </row>
        <row r="14">
          <cell r="B14">
            <v>18268</v>
          </cell>
        </row>
      </sheetData>
      <sheetData sheetId="11">
        <row r="6">
          <cell r="B6">
            <v>9883</v>
          </cell>
        </row>
        <row r="7">
          <cell r="B7">
            <v>5320</v>
          </cell>
        </row>
        <row r="8">
          <cell r="B8">
            <v>1494</v>
          </cell>
        </row>
        <row r="39">
          <cell r="B39">
            <v>3839</v>
          </cell>
        </row>
        <row r="62">
          <cell r="B62">
            <v>38427</v>
          </cell>
        </row>
      </sheetData>
      <sheetData sheetId="12">
        <row r="81">
          <cell r="B81">
            <v>100519</v>
          </cell>
        </row>
        <row r="117">
          <cell r="B117">
            <v>1408</v>
          </cell>
        </row>
        <row r="144">
          <cell r="B144">
            <v>2440</v>
          </cell>
        </row>
      </sheetData>
      <sheetData sheetId="16">
        <row r="6">
          <cell r="B6">
            <v>30455</v>
          </cell>
        </row>
        <row r="9">
          <cell r="B9">
            <v>2597</v>
          </cell>
        </row>
        <row r="12">
          <cell r="B12">
            <v>337667</v>
          </cell>
        </row>
      </sheetData>
      <sheetData sheetId="22">
        <row r="18">
          <cell r="B18">
            <v>15971</v>
          </cell>
        </row>
        <row r="19">
          <cell r="B19">
            <v>4218</v>
          </cell>
        </row>
        <row r="20">
          <cell r="B20">
            <v>5064</v>
          </cell>
        </row>
        <row r="21">
          <cell r="B21">
            <v>1687</v>
          </cell>
        </row>
        <row r="22">
          <cell r="B22">
            <v>121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повестяване"/>
      <sheetName val="PPE"/>
      <sheetName val="B12Cash"/>
      <sheetName val="CFS (2)"/>
      <sheetName val="balance_word"/>
      <sheetName val="Balance"/>
      <sheetName val="opr_word"/>
      <sheetName val="OPR "/>
      <sheetName val="segments"/>
      <sheetName val="B1PPE"/>
      <sheetName val="SChC"/>
      <sheetName val="B2IntA"/>
      <sheetName val="B3InvP"/>
      <sheetName val="B11ORec"/>
      <sheetName val="B8SRFA"/>
      <sheetName val="B17LTFL"/>
      <sheetName val="B18STFL"/>
      <sheetName val="B20T&amp;OPay"/>
    </sheetNames>
    <sheetDataSet>
      <sheetData sheetId="2">
        <row r="10">
          <cell r="E10">
            <v>460966</v>
          </cell>
        </row>
        <row r="11">
          <cell r="B11">
            <v>40692</v>
          </cell>
        </row>
        <row r="16">
          <cell r="B16">
            <v>170840</v>
          </cell>
        </row>
      </sheetData>
      <sheetData sheetId="6">
        <row r="15">
          <cell r="C15">
            <v>93622</v>
          </cell>
        </row>
        <row r="33">
          <cell r="C33">
            <v>17180</v>
          </cell>
        </row>
      </sheetData>
      <sheetData sheetId="9">
        <row r="103">
          <cell r="B103">
            <v>28668</v>
          </cell>
          <cell r="H103">
            <v>17001</v>
          </cell>
        </row>
        <row r="109">
          <cell r="D109">
            <v>9492</v>
          </cell>
          <cell r="E109">
            <v>292</v>
          </cell>
          <cell r="F109">
            <v>6333</v>
          </cell>
          <cell r="G109">
            <v>121</v>
          </cell>
          <cell r="H109">
            <v>978</v>
          </cell>
        </row>
        <row r="110">
          <cell r="D110">
            <v>109</v>
          </cell>
          <cell r="E110">
            <v>760</v>
          </cell>
          <cell r="F110">
            <v>-2542</v>
          </cell>
          <cell r="G110">
            <v>-33</v>
          </cell>
        </row>
        <row r="111">
          <cell r="D111">
            <v>17918</v>
          </cell>
          <cell r="E111">
            <v>28545</v>
          </cell>
          <cell r="F111">
            <v>28601</v>
          </cell>
          <cell r="G111">
            <v>1724</v>
          </cell>
          <cell r="H111">
            <v>63001</v>
          </cell>
        </row>
        <row r="112">
          <cell r="B112">
            <v>-741</v>
          </cell>
          <cell r="C112">
            <v>-198</v>
          </cell>
          <cell r="D112">
            <v>-426</v>
          </cell>
          <cell r="E112">
            <v>-591</v>
          </cell>
          <cell r="F112">
            <v>-14309</v>
          </cell>
          <cell r="G112">
            <v>-68</v>
          </cell>
          <cell r="H112">
            <v>-13285</v>
          </cell>
        </row>
        <row r="113">
          <cell r="C113">
            <v>69</v>
          </cell>
          <cell r="D113">
            <v>1602</v>
          </cell>
          <cell r="E113">
            <v>546</v>
          </cell>
          <cell r="F113">
            <v>1164</v>
          </cell>
          <cell r="G113">
            <v>65</v>
          </cell>
        </row>
        <row r="114">
          <cell r="D114">
            <v>-5978</v>
          </cell>
          <cell r="E114">
            <v>-1336</v>
          </cell>
          <cell r="F114">
            <v>-8918</v>
          </cell>
          <cell r="G114">
            <v>-376</v>
          </cell>
        </row>
      </sheetData>
      <sheetData sheetId="11">
        <row r="15">
          <cell r="B15">
            <v>54</v>
          </cell>
          <cell r="C15">
            <v>3596</v>
          </cell>
          <cell r="D15">
            <v>61</v>
          </cell>
          <cell r="E15">
            <v>1247</v>
          </cell>
          <cell r="F15">
            <v>6975</v>
          </cell>
        </row>
        <row r="16">
          <cell r="B16">
            <v>-52</v>
          </cell>
          <cell r="C16">
            <v>-2049</v>
          </cell>
          <cell r="D16">
            <v>-28</v>
          </cell>
          <cell r="E16">
            <v>-792</v>
          </cell>
          <cell r="F16">
            <v>-2102</v>
          </cell>
        </row>
        <row r="22">
          <cell r="B22">
            <v>0</v>
          </cell>
        </row>
        <row r="40">
          <cell r="B40">
            <v>0</v>
          </cell>
          <cell r="C40">
            <v>0</v>
          </cell>
          <cell r="D40">
            <v>31830</v>
          </cell>
          <cell r="E40">
            <v>1</v>
          </cell>
        </row>
        <row r="41">
          <cell r="D41">
            <v>-3183</v>
          </cell>
        </row>
        <row r="42">
          <cell r="B42">
            <v>0</v>
          </cell>
          <cell r="C42">
            <v>72</v>
          </cell>
          <cell r="D42">
            <v>245</v>
          </cell>
          <cell r="E42">
            <v>223</v>
          </cell>
          <cell r="F42">
            <v>16061</v>
          </cell>
        </row>
        <row r="43">
          <cell r="B43">
            <v>-2</v>
          </cell>
          <cell r="C43">
            <v>-55</v>
          </cell>
          <cell r="D43">
            <v>0</v>
          </cell>
          <cell r="E43">
            <v>-482</v>
          </cell>
          <cell r="F43">
            <v>-22</v>
          </cell>
        </row>
        <row r="44">
          <cell r="C44">
            <v>180</v>
          </cell>
          <cell r="D44">
            <v>10</v>
          </cell>
          <cell r="E44">
            <v>480</v>
          </cell>
          <cell r="F44">
            <v>224</v>
          </cell>
        </row>
        <row r="47">
          <cell r="B47">
            <v>0</v>
          </cell>
          <cell r="C47">
            <v>-569</v>
          </cell>
          <cell r="D47">
            <v>-34</v>
          </cell>
          <cell r="E47">
            <v>-365</v>
          </cell>
          <cell r="F47">
            <v>-1455</v>
          </cell>
        </row>
      </sheetData>
      <sheetData sheetId="12">
        <row r="15">
          <cell r="D15">
            <v>11672</v>
          </cell>
        </row>
        <row r="16">
          <cell r="D16">
            <v>-1127</v>
          </cell>
        </row>
        <row r="41">
          <cell r="B41">
            <v>4887</v>
          </cell>
          <cell r="C41">
            <v>2936</v>
          </cell>
        </row>
        <row r="42">
          <cell r="C42">
            <v>25</v>
          </cell>
        </row>
        <row r="43">
          <cell r="C43">
            <v>-17</v>
          </cell>
        </row>
        <row r="45">
          <cell r="D45">
            <v>-242</v>
          </cell>
        </row>
      </sheetData>
      <sheetData sheetId="13">
        <row r="9">
          <cell r="B9">
            <v>5731</v>
          </cell>
        </row>
        <row r="31">
          <cell r="B31">
            <v>420</v>
          </cell>
        </row>
        <row r="32">
          <cell r="B32">
            <v>1689</v>
          </cell>
        </row>
      </sheetData>
      <sheetData sheetId="17">
        <row r="10">
          <cell r="B10">
            <v>12555</v>
          </cell>
        </row>
        <row r="15">
          <cell r="B15">
            <v>6269</v>
          </cell>
        </row>
        <row r="16">
          <cell r="B16">
            <v>252</v>
          </cell>
        </row>
        <row r="17">
          <cell r="B17">
            <v>1413</v>
          </cell>
        </row>
        <row r="20">
          <cell r="B20">
            <v>0</v>
          </cell>
        </row>
        <row r="32">
          <cell r="B32">
            <v>3074</v>
          </cell>
        </row>
        <row r="33">
          <cell r="B33">
            <v>708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just BS"/>
      <sheetName val="Balance"/>
      <sheetName val="Adjust IS"/>
      <sheetName val="CFS"/>
      <sheetName val="SChC"/>
      <sheetName val="Balance (2)"/>
      <sheetName val="OPR2005 (2)"/>
      <sheetName val="OPR12,2007"/>
      <sheetName val="бае146"/>
      <sheetName val="CFS (2)"/>
      <sheetName val="Сл. лъчи(репутация-активи)"/>
      <sheetName val="ТРАНСИНТЕР"/>
      <sheetName val="ПДНГ"/>
      <sheetName val="Sl luchi"/>
      <sheetName val="B1PPE"/>
      <sheetName val="dmaTABLICI"/>
      <sheetName val="GT_Custom"/>
    </sheetNames>
    <sheetDataSet>
      <sheetData sheetId="4">
        <row r="93">
          <cell r="B93">
            <v>20000</v>
          </cell>
          <cell r="D93">
            <v>199418</v>
          </cell>
        </row>
        <row r="95">
          <cell r="H95">
            <v>101664</v>
          </cell>
        </row>
        <row r="97">
          <cell r="G97">
            <v>640</v>
          </cell>
          <cell r="H9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ies"/>
      <sheetName val="oborot"/>
      <sheetName val="balance"/>
      <sheetName val="CP&amp;L (3)"/>
      <sheetName val="CFS (2)"/>
      <sheetName val="ConsCFS"/>
      <sheetName val="CFS"/>
      <sheetName val="SChC"/>
      <sheetName val="PPE"/>
      <sheetName val="IntA"/>
      <sheetName val="InvP"/>
      <sheetName val="LRFA"/>
      <sheetName val="SRFA (2)"/>
      <sheetName val="SpRes"/>
      <sheetName val="DefTax"/>
      <sheetName val="Lease"/>
      <sheetName val="NEW"/>
      <sheetName val="Assoc"/>
      <sheetName val="NotesP&amp;L"/>
      <sheetName val="Notes"/>
      <sheetName val="OthRec&amp;Pay"/>
      <sheetName val="ShCap"/>
      <sheetName val="PaySt"/>
      <sheetName val="L&amp;STFL"/>
      <sheetName val="related"/>
      <sheetName val="relatedR&amp;P "/>
      <sheetName val="Ris"/>
      <sheetName val="INtREC&amp;PAY"/>
      <sheetName val="ОПРлева"/>
      <sheetName val="401100"/>
      <sheetName val="402000"/>
      <sheetName val="411"/>
      <sheetName val="InterestPayables"/>
      <sheetName val="InterestReceivables"/>
      <sheetName val="GT_Custom"/>
    </sheetNames>
    <sheetDataSet>
      <sheetData sheetId="2">
        <row r="9">
          <cell r="D9">
            <v>18136</v>
          </cell>
        </row>
        <row r="10">
          <cell r="D10">
            <v>10822</v>
          </cell>
        </row>
        <row r="12">
          <cell r="D12">
            <v>26272.445600000003</v>
          </cell>
          <cell r="E12">
            <v>26445</v>
          </cell>
        </row>
        <row r="13">
          <cell r="D13">
            <v>674587</v>
          </cell>
        </row>
        <row r="14">
          <cell r="D14">
            <v>1000</v>
          </cell>
        </row>
        <row r="15">
          <cell r="D15">
            <v>1930</v>
          </cell>
        </row>
        <row r="21">
          <cell r="D21">
            <v>35522</v>
          </cell>
        </row>
        <row r="22">
          <cell r="D22">
            <v>126977</v>
          </cell>
        </row>
        <row r="38">
          <cell r="D38">
            <v>232343</v>
          </cell>
        </row>
        <row r="40">
          <cell r="D40">
            <v>124587</v>
          </cell>
        </row>
        <row r="41">
          <cell r="D41">
            <v>119109.6795</v>
          </cell>
        </row>
        <row r="43">
          <cell r="D43">
            <v>179877</v>
          </cell>
        </row>
        <row r="51">
          <cell r="D51">
            <v>146709</v>
          </cell>
        </row>
        <row r="53">
          <cell r="D53">
            <v>11274</v>
          </cell>
        </row>
      </sheetData>
      <sheetData sheetId="8">
        <row r="44">
          <cell r="B44">
            <v>87638</v>
          </cell>
          <cell r="C44">
            <v>107726</v>
          </cell>
          <cell r="D44">
            <v>42961</v>
          </cell>
          <cell r="E44">
            <v>65877</v>
          </cell>
          <cell r="F44">
            <v>57583</v>
          </cell>
          <cell r="G44">
            <v>4805</v>
          </cell>
          <cell r="H44">
            <v>67695</v>
          </cell>
        </row>
      </sheetData>
      <sheetData sheetId="11">
        <row r="21">
          <cell r="C21">
            <v>83790</v>
          </cell>
        </row>
        <row r="30">
          <cell r="C30">
            <v>20302</v>
          </cell>
        </row>
        <row r="31">
          <cell r="C31">
            <v>5912</v>
          </cell>
        </row>
        <row r="44">
          <cell r="C44">
            <v>12223</v>
          </cell>
        </row>
        <row r="45">
          <cell r="C45">
            <v>23982</v>
          </cell>
        </row>
      </sheetData>
      <sheetData sheetId="12">
        <row r="5">
          <cell r="C5">
            <v>293180</v>
          </cell>
        </row>
        <row r="7">
          <cell r="C7">
            <v>7004</v>
          </cell>
        </row>
        <row r="8">
          <cell r="C8">
            <v>109090</v>
          </cell>
        </row>
        <row r="25">
          <cell r="D25">
            <v>5340</v>
          </cell>
        </row>
        <row r="26">
          <cell r="D26">
            <v>9662</v>
          </cell>
        </row>
        <row r="27">
          <cell r="D27">
            <v>9464</v>
          </cell>
        </row>
        <row r="29">
          <cell r="D29">
            <v>1306</v>
          </cell>
        </row>
        <row r="47">
          <cell r="D47">
            <v>11742</v>
          </cell>
        </row>
      </sheetData>
      <sheetData sheetId="16">
        <row r="19">
          <cell r="H19">
            <v>-31839</v>
          </cell>
        </row>
        <row r="45">
          <cell r="I45">
            <v>15366.9616</v>
          </cell>
        </row>
        <row r="46">
          <cell r="I46">
            <v>6436</v>
          </cell>
        </row>
        <row r="47">
          <cell r="I47">
            <v>1899.484</v>
          </cell>
        </row>
        <row r="48">
          <cell r="I48">
            <v>452.54999999999995</v>
          </cell>
        </row>
        <row r="49">
          <cell r="I49">
            <v>750</v>
          </cell>
        </row>
        <row r="50">
          <cell r="I50">
            <v>1366.6</v>
          </cell>
        </row>
        <row r="54">
          <cell r="C54">
            <v>-47792</v>
          </cell>
        </row>
      </sheetData>
      <sheetData sheetId="19">
        <row r="6">
          <cell r="B6">
            <v>19428</v>
          </cell>
        </row>
        <row r="7">
          <cell r="B7">
            <v>2101</v>
          </cell>
        </row>
        <row r="8">
          <cell r="B8">
            <v>44476</v>
          </cell>
        </row>
        <row r="9">
          <cell r="B9">
            <v>5789</v>
          </cell>
        </row>
        <row r="10">
          <cell r="B10">
            <v>78</v>
          </cell>
        </row>
        <row r="69">
          <cell r="B69">
            <v>34947</v>
          </cell>
        </row>
        <row r="70">
          <cell r="B70">
            <v>17753</v>
          </cell>
        </row>
        <row r="77">
          <cell r="B77">
            <v>88651</v>
          </cell>
        </row>
      </sheetData>
      <sheetData sheetId="20">
        <row r="6">
          <cell r="B6">
            <v>6367</v>
          </cell>
        </row>
        <row r="7">
          <cell r="B7">
            <v>1419</v>
          </cell>
        </row>
        <row r="8">
          <cell r="B8">
            <v>8321</v>
          </cell>
        </row>
        <row r="11">
          <cell r="B11">
            <v>179</v>
          </cell>
        </row>
      </sheetData>
      <sheetData sheetId="23">
        <row r="6">
          <cell r="B6">
            <v>40989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view="pageBreakPreview" zoomScale="75" zoomScaleSheetLayoutView="75" workbookViewId="0" topLeftCell="A1">
      <selection activeCell="G94" sqref="G94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0" t="s">
        <v>865</v>
      </c>
      <c r="F3" s="217" t="s">
        <v>2</v>
      </c>
      <c r="G3" s="172"/>
      <c r="H3" s="172">
        <v>627519</v>
      </c>
    </row>
    <row r="4" spans="1:8" ht="15">
      <c r="A4" s="580" t="s">
        <v>3</v>
      </c>
      <c r="B4" s="586"/>
      <c r="C4" s="586"/>
      <c r="D4" s="586"/>
      <c r="E4" s="502" t="s">
        <v>868</v>
      </c>
      <c r="F4" s="582" t="s">
        <v>4</v>
      </c>
      <c r="G4" s="583"/>
      <c r="H4" s="459" t="s">
        <v>159</v>
      </c>
    </row>
    <row r="5" spans="1:8" ht="15">
      <c r="A5" s="580" t="s">
        <v>5</v>
      </c>
      <c r="B5" s="581"/>
      <c r="C5" s="581"/>
      <c r="D5" s="581"/>
      <c r="E5" s="503">
        <v>39447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f>'[6]PPE'!$B$44</f>
        <v>87638</v>
      </c>
      <c r="D11" s="151">
        <f>'[3]PPE'!$B$37</f>
        <v>28668</v>
      </c>
      <c r="E11" s="237" t="s">
        <v>22</v>
      </c>
      <c r="F11" s="242" t="s">
        <v>23</v>
      </c>
      <c r="G11" s="152">
        <v>150000</v>
      </c>
      <c r="H11" s="152">
        <f>'[1]Balance'!$AV$37</f>
        <v>130000</v>
      </c>
    </row>
    <row r="12" spans="1:8" ht="15">
      <c r="A12" s="235" t="s">
        <v>24</v>
      </c>
      <c r="B12" s="241" t="s">
        <v>25</v>
      </c>
      <c r="C12" s="151">
        <f>'[6]PPE'!$C$44</f>
        <v>107726</v>
      </c>
      <c r="D12" s="151">
        <f>'[3]PPE'!$C$37</f>
        <v>47025</v>
      </c>
      <c r="E12" s="237" t="s">
        <v>26</v>
      </c>
      <c r="F12" s="242" t="s">
        <v>27</v>
      </c>
      <c r="G12" s="153">
        <f>G11</f>
        <v>150000</v>
      </c>
      <c r="H12" s="153">
        <v>130000</v>
      </c>
    </row>
    <row r="13" spans="1:8" ht="15">
      <c r="A13" s="235" t="s">
        <v>28</v>
      </c>
      <c r="B13" s="241" t="s">
        <v>29</v>
      </c>
      <c r="C13" s="151">
        <f>'[6]PPE'!$D$44</f>
        <v>42961</v>
      </c>
      <c r="D13" s="151">
        <f>'[3]PPE'!$D$37</f>
        <v>20244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f>'[6]PPE'!$E$44</f>
        <v>65877</v>
      </c>
      <c r="D14" s="151">
        <f>'[3]PPE'!$E$37</f>
        <v>37661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'[6]PPE'!$F$44</f>
        <v>57583</v>
      </c>
      <c r="D15" s="151">
        <f>'[3]PPE'!$F$37</f>
        <v>47254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f>'[6]PPE'!$H$44</f>
        <v>67695</v>
      </c>
      <c r="D17" s="151">
        <f>'[3]PPE'!$H$37</f>
        <v>17230</v>
      </c>
      <c r="E17" s="243" t="s">
        <v>46</v>
      </c>
      <c r="F17" s="245" t="s">
        <v>47</v>
      </c>
      <c r="G17" s="154">
        <f>G11+G14+G15+G16</f>
        <v>150000</v>
      </c>
      <c r="H17" s="154">
        <f>H11+H14+H15+H16</f>
        <v>130000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'[6]PPE'!$G$44</f>
        <v>4805</v>
      </c>
      <c r="D18" s="151">
        <f>'[3]PPE'!$G$37</f>
        <v>3372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434285</v>
      </c>
      <c r="D19" s="155">
        <f>SUM(D11:D18)</f>
        <v>201454</v>
      </c>
      <c r="E19" s="237" t="s">
        <v>53</v>
      </c>
      <c r="F19" s="242" t="s">
        <v>54</v>
      </c>
      <c r="G19" s="152">
        <f>'[6]balance'!$D$38</f>
        <v>232343</v>
      </c>
      <c r="H19" s="152">
        <f>'[3]balance'!$C$36</f>
        <v>32925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f>'[6]balance'!$D$9</f>
        <v>18136</v>
      </c>
      <c r="D20" s="151">
        <f>'[3]InvP'!$D$35</f>
        <v>10545</v>
      </c>
      <c r="E20" s="237" t="s">
        <v>57</v>
      </c>
      <c r="F20" s="242" t="s">
        <v>58</v>
      </c>
      <c r="G20" s="158">
        <v>0</v>
      </c>
      <c r="H20" s="158">
        <v>281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3678</v>
      </c>
      <c r="H21" s="156">
        <f>SUM(H22:H24)</f>
        <v>2918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2403</v>
      </c>
      <c r="H22" s="152">
        <v>1643</v>
      </c>
    </row>
    <row r="23" spans="1:13" ht="15">
      <c r="A23" s="235" t="s">
        <v>66</v>
      </c>
      <c r="B23" s="241" t="s">
        <v>67</v>
      </c>
      <c r="C23" s="151">
        <v>28901</v>
      </c>
      <c r="D23" s="151">
        <f>'[3]IntA'!$C$34</f>
        <v>1547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312</v>
      </c>
      <c r="D24" s="151">
        <f>'[3]IntA'!$D$34+'[3]IntA'!$E$34</f>
        <v>488</v>
      </c>
      <c r="E24" s="237" t="s">
        <v>72</v>
      </c>
      <c r="F24" s="242" t="s">
        <v>73</v>
      </c>
      <c r="G24" s="152">
        <v>1275</v>
      </c>
      <c r="H24" s="152">
        <f>2409-1134</f>
        <v>1275</v>
      </c>
    </row>
    <row r="25" spans="1:18" ht="15">
      <c r="A25" s="235" t="s">
        <v>74</v>
      </c>
      <c r="B25" s="241" t="s">
        <v>75</v>
      </c>
      <c r="C25" s="151">
        <f>'[4]B2IntA'!$B$22</f>
        <v>0</v>
      </c>
      <c r="D25" s="151">
        <f>'[3]IntA'!$B$34</f>
        <v>2</v>
      </c>
      <c r="E25" s="253" t="s">
        <v>76</v>
      </c>
      <c r="F25" s="245" t="s">
        <v>77</v>
      </c>
      <c r="G25" s="154">
        <f>G19+G20+G21</f>
        <v>236021</v>
      </c>
      <c r="H25" s="154">
        <f>H19+H20+H21</f>
        <v>36124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f>19681+1175</f>
        <v>20856</v>
      </c>
      <c r="D26" s="151">
        <f>'[3]IntA'!$F$34</f>
        <v>4873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50069</v>
      </c>
      <c r="D27" s="155">
        <f>SUM(D23:D26)</f>
        <v>6910</v>
      </c>
      <c r="E27" s="253" t="s">
        <v>83</v>
      </c>
      <c r="F27" s="242" t="s">
        <v>84</v>
      </c>
      <c r="G27" s="154">
        <f>SUM(G28:G30)</f>
        <v>124587</v>
      </c>
      <c r="H27" s="154">
        <f>SUM(H28:H30)</f>
        <v>70617.20075317637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'[6]balance'!$D$40</f>
        <v>124587</v>
      </c>
      <c r="H28" s="152">
        <f>'[3]balance'!$C$38</f>
        <v>70617.20075317637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f>'[6]balance'!$D$10</f>
        <v>10822</v>
      </c>
      <c r="D30" s="151">
        <f>'[3]balance'!$C$8</f>
        <v>11403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'[6]balance'!$D$41</f>
        <v>119109.6795</v>
      </c>
      <c r="H31" s="152">
        <f>'[3]balance'!$C$39</f>
        <v>53329.54999999999</v>
      </c>
      <c r="M31" s="157"/>
    </row>
    <row r="32" spans="1:15" ht="15">
      <c r="A32" s="235" t="s">
        <v>98</v>
      </c>
      <c r="B32" s="250" t="s">
        <v>99</v>
      </c>
      <c r="C32" s="155">
        <f>C30+C31</f>
        <v>10822</v>
      </c>
      <c r="D32" s="155">
        <f>D30+D31</f>
        <v>11403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243696.6795</v>
      </c>
      <c r="H33" s="154">
        <f>H27+H31+H32</f>
        <v>123946.75075317635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852</v>
      </c>
      <c r="B34" s="244" t="s">
        <v>105</v>
      </c>
      <c r="C34" s="155">
        <f>SUM(C35:C38)</f>
        <v>26272.445600000003</v>
      </c>
      <c r="D34" s="155">
        <f>SUM(D35:D38)</f>
        <v>26445.460600000002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629717.6795</v>
      </c>
      <c r="H36" s="154">
        <f>H25+H17+H33</f>
        <v>290070.75075317634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f>'[6]balance'!$D$12</f>
        <v>26272.445600000003</v>
      </c>
      <c r="D37" s="151">
        <f>'[3]balance'!$C$10</f>
        <v>26445.460600000002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83790</v>
      </c>
      <c r="D39" s="159">
        <f>D40+D41+D43</f>
        <v>0</v>
      </c>
      <c r="E39" s="445" t="s">
        <v>118</v>
      </c>
      <c r="F39" s="261" t="s">
        <v>119</v>
      </c>
      <c r="G39" s="158">
        <f>'[6]balance'!$D$43</f>
        <v>179877</v>
      </c>
      <c r="H39" s="158">
        <f>'[3]balance'!$C$41</f>
        <v>61033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f>'[6]LRFA'!$C$21</f>
        <v>83790</v>
      </c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'[6]balance'!$D$51</f>
        <v>146709</v>
      </c>
      <c r="H43" s="152">
        <f>'[3]balance'!$C$49</f>
        <v>7760</v>
      </c>
      <c r="M43" s="157"/>
    </row>
    <row r="44" spans="1:8" ht="15">
      <c r="A44" s="235" t="s">
        <v>132</v>
      </c>
      <c r="B44" s="264" t="s">
        <v>133</v>
      </c>
      <c r="C44" s="151">
        <f>'[6]balance'!$D$13-C40-C41-C43</f>
        <v>590797</v>
      </c>
      <c r="D44" s="151">
        <f>'[3]balance'!$C$11</f>
        <v>479185</v>
      </c>
      <c r="E44" s="268" t="s">
        <v>134</v>
      </c>
      <c r="F44" s="242" t="s">
        <v>135</v>
      </c>
      <c r="G44" s="152">
        <f>'[6]L&amp;STFL'!$B$6</f>
        <v>40989</v>
      </c>
      <c r="H44" s="152">
        <f>'[3]LRFL'!$B$6+10785</f>
        <v>41240</v>
      </c>
    </row>
    <row r="45" spans="1:15" ht="15">
      <c r="A45" s="235" t="s">
        <v>136</v>
      </c>
      <c r="B45" s="249" t="s">
        <v>137</v>
      </c>
      <c r="C45" s="155">
        <f>C34+C39+C44</f>
        <v>700859.4456</v>
      </c>
      <c r="D45" s="155">
        <f>D34+D39+D44</f>
        <v>505630.4606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15689</v>
      </c>
      <c r="H46" s="152">
        <f>'[3]LRFL'!$B$9</f>
        <v>2597</v>
      </c>
    </row>
    <row r="47" spans="1:13" ht="15">
      <c r="A47" s="235" t="s">
        <v>143</v>
      </c>
      <c r="B47" s="241" t="s">
        <v>144</v>
      </c>
      <c r="C47" s="151">
        <f>'[6]balance'!$D$14</f>
        <v>1000</v>
      </c>
      <c r="D47" s="151">
        <f>'[3]balance'!$C$12</f>
        <v>94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1003674</v>
      </c>
      <c r="H48" s="152">
        <f>'[3]LRFL'!$B$12-'[3]LRFL'!$B$6-'[3]LRFL'!$B$9-H54+'[3]balance'!$C$50+'[3]balance'!$C$43+'[3]balance'!$C$47-10785</f>
        <v>372879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1207061</v>
      </c>
      <c r="H49" s="154">
        <f>SUM(H43:H48)</f>
        <v>424476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1000</v>
      </c>
      <c r="D51" s="155">
        <f>SUM(D47:D50)</f>
        <v>94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f>'[6]balance'!$D$53</f>
        <v>11274</v>
      </c>
      <c r="H53" s="152">
        <f>'[3]balance'!$C$51</f>
        <v>1349</v>
      </c>
    </row>
    <row r="54" spans="1:8" ht="27">
      <c r="A54" s="235" t="s">
        <v>166</v>
      </c>
      <c r="B54" s="249" t="s">
        <v>167</v>
      </c>
      <c r="C54" s="151">
        <f>'[6]balance'!$D$15</f>
        <v>1930</v>
      </c>
      <c r="D54" s="151">
        <f>'[3]balance'!$C$13</f>
        <v>412</v>
      </c>
      <c r="E54" s="237" t="s">
        <v>168</v>
      </c>
      <c r="F54" s="245" t="s">
        <v>169</v>
      </c>
      <c r="G54" s="152">
        <f>158+3793</f>
        <v>3951</v>
      </c>
      <c r="H54" s="152">
        <v>158</v>
      </c>
    </row>
    <row r="55" spans="1:18" ht="25.5">
      <c r="A55" s="269" t="s">
        <v>170</v>
      </c>
      <c r="B55" s="270" t="s">
        <v>171</v>
      </c>
      <c r="C55" s="155">
        <f>C19+C20+C21+C27+C32+C45+C51+C53+C54</f>
        <v>1217101.4456</v>
      </c>
      <c r="D55" s="155">
        <f>D19+D20+D21+D27+D32+D45+D51+D53+D54</f>
        <v>736448.4606</v>
      </c>
      <c r="E55" s="237" t="s">
        <v>172</v>
      </c>
      <c r="F55" s="261" t="s">
        <v>173</v>
      </c>
      <c r="G55" s="154">
        <f>G49+G51+G52+G53+G54</f>
        <v>1222286</v>
      </c>
      <c r="H55" s="154">
        <f>H49+H51+H52+H53+H54</f>
        <v>425983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'[6]Notes'!$B$6</f>
        <v>19428</v>
      </c>
      <c r="D58" s="151">
        <f>'[3]Notes'!$B$18</f>
        <v>15971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f>'[6]Notes'!$B$7</f>
        <v>2101</v>
      </c>
      <c r="D59" s="151">
        <f>'[3]Notes'!$B$19</f>
        <v>4218</v>
      </c>
      <c r="E59" s="251" t="s">
        <v>181</v>
      </c>
      <c r="F59" s="242" t="s">
        <v>182</v>
      </c>
      <c r="G59" s="152">
        <v>71761</v>
      </c>
      <c r="H59" s="152">
        <f>'[3]SRFL'!$B$81-'[3]SRFL'!$B$117</f>
        <v>99111</v>
      </c>
      <c r="M59" s="157"/>
    </row>
    <row r="60" spans="1:8" ht="15">
      <c r="A60" s="235" t="s">
        <v>183</v>
      </c>
      <c r="B60" s="241" t="s">
        <v>184</v>
      </c>
      <c r="C60" s="151">
        <f>'[6]Notes'!$B$8</f>
        <v>44476</v>
      </c>
      <c r="D60" s="151">
        <f>'[3]Notes'!$B$20</f>
        <v>5064</v>
      </c>
      <c r="E60" s="237" t="s">
        <v>185</v>
      </c>
      <c r="F60" s="242" t="s">
        <v>186</v>
      </c>
      <c r="G60" s="152">
        <v>4548</v>
      </c>
      <c r="H60" s="152">
        <f>'[3]SRFL'!$B$117+'[3]SRFL'!$B$144</f>
        <v>3848</v>
      </c>
    </row>
    <row r="61" spans="1:18" ht="15">
      <c r="A61" s="235" t="s">
        <v>187</v>
      </c>
      <c r="B61" s="244" t="s">
        <v>188</v>
      </c>
      <c r="C61" s="151">
        <f>'[6]Notes'!$B$9</f>
        <v>5789</v>
      </c>
      <c r="D61" s="151">
        <f>'[3]Notes'!$B$21</f>
        <v>1687</v>
      </c>
      <c r="E61" s="243" t="s">
        <v>189</v>
      </c>
      <c r="F61" s="272" t="s">
        <v>190</v>
      </c>
      <c r="G61" s="154">
        <f>SUM(G62:G68)</f>
        <v>166526</v>
      </c>
      <c r="H61" s="154">
        <f>SUM(H62:H68)</f>
        <v>56161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0</v>
      </c>
      <c r="H62" s="152">
        <f>'[3]balance'!$C$55</f>
        <v>1037</v>
      </c>
    </row>
    <row r="63" spans="1:13" ht="15">
      <c r="A63" s="235" t="s">
        <v>195</v>
      </c>
      <c r="B63" s="241" t="s">
        <v>196</v>
      </c>
      <c r="C63" s="151">
        <f>'[6]Notes'!$B$10</f>
        <v>78</v>
      </c>
      <c r="D63" s="151">
        <f>'[3]Notes'!$B$22</f>
        <v>121</v>
      </c>
      <c r="E63" s="237" t="s">
        <v>197</v>
      </c>
      <c r="F63" s="242" t="s">
        <v>198</v>
      </c>
      <c r="G63" s="152">
        <f>'[4]B20T&amp;OPay'!$B$20</f>
        <v>0</v>
      </c>
      <c r="H63" s="152">
        <f>'[3]OLRL'!$B$39</f>
        <v>3839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71872</v>
      </c>
      <c r="D64" s="155">
        <f>SUM(D58:D63)</f>
        <v>27061</v>
      </c>
      <c r="E64" s="237" t="s">
        <v>200</v>
      </c>
      <c r="F64" s="242" t="s">
        <v>201</v>
      </c>
      <c r="G64" s="152">
        <v>135937</v>
      </c>
      <c r="H64" s="152">
        <f>'[3]OLRL'!$B$62-'[3]OLRL'!$B$39</f>
        <v>34588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'[4]B20T&amp;OPay'!$B$15</f>
        <v>6269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9455</v>
      </c>
      <c r="H66" s="152">
        <f>'[3]OLRL'!$B$7</f>
        <v>5320</v>
      </c>
    </row>
    <row r="67" spans="1:8" ht="15">
      <c r="A67" s="235" t="s">
        <v>207</v>
      </c>
      <c r="B67" s="241" t="s">
        <v>208</v>
      </c>
      <c r="C67" s="151">
        <f>'[6]balance'!$D$21</f>
        <v>35522</v>
      </c>
      <c r="D67" s="151">
        <f>'[3]balance'!$C$19</f>
        <v>6210</v>
      </c>
      <c r="E67" s="237" t="s">
        <v>209</v>
      </c>
      <c r="F67" s="242" t="s">
        <v>210</v>
      </c>
      <c r="G67" s="152">
        <v>2310</v>
      </c>
      <c r="H67" s="152">
        <f>'[3]OLRL'!$B$8</f>
        <v>1494</v>
      </c>
    </row>
    <row r="68" spans="1:8" ht="15">
      <c r="A68" s="235" t="s">
        <v>211</v>
      </c>
      <c r="B68" s="241" t="s">
        <v>212</v>
      </c>
      <c r="C68" s="151">
        <f>'[6]balance'!$D$22</f>
        <v>126977</v>
      </c>
      <c r="D68" s="151">
        <f>'[3]balance'!$C$20</f>
        <v>74032</v>
      </c>
      <c r="E68" s="237" t="s">
        <v>213</v>
      </c>
      <c r="F68" s="242" t="s">
        <v>214</v>
      </c>
      <c r="G68" s="152">
        <v>12555</v>
      </c>
      <c r="H68" s="152">
        <f>'[3]OLRL'!$B$6</f>
        <v>9883</v>
      </c>
    </row>
    <row r="69" spans="1:8" ht="15">
      <c r="A69" s="235" t="s">
        <v>215</v>
      </c>
      <c r="B69" s="241" t="s">
        <v>216</v>
      </c>
      <c r="C69" s="151">
        <f>'[6]OthRec&amp;Pay'!$B$8</f>
        <v>8321</v>
      </c>
      <c r="D69" s="151">
        <f>'[3]OtherRec'!$B$8</f>
        <v>10842</v>
      </c>
      <c r="E69" s="251" t="s">
        <v>78</v>
      </c>
      <c r="F69" s="242" t="s">
        <v>217</v>
      </c>
      <c r="G69" s="152">
        <v>467203</v>
      </c>
      <c r="H69" s="152">
        <f>'[3]balance'!$C$54+'[3]balance'!$C$55+'[3]balance'!$C$56-H61-H59-H60-H70-H75</f>
        <v>694263</v>
      </c>
    </row>
    <row r="70" spans="1:8" ht="25.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f>'[4]B20T&amp;OPay'!$B$16</f>
        <v>252</v>
      </c>
      <c r="H70" s="152">
        <v>400</v>
      </c>
    </row>
    <row r="71" spans="1:18" ht="15">
      <c r="A71" s="235" t="s">
        <v>222</v>
      </c>
      <c r="B71" s="241" t="s">
        <v>223</v>
      </c>
      <c r="C71" s="151">
        <f>'[6]OthRec&amp;Pay'!$B$7</f>
        <v>1419</v>
      </c>
      <c r="D71" s="151">
        <f>'[3]OtherRec'!$B$7</f>
        <v>1231</v>
      </c>
      <c r="E71" s="253" t="s">
        <v>46</v>
      </c>
      <c r="F71" s="273" t="s">
        <v>224</v>
      </c>
      <c r="G71" s="161">
        <f>G59+G60+G61+G69+G70</f>
        <v>710290</v>
      </c>
      <c r="H71" s="161">
        <f>H59+H60+H61+H69+H70</f>
        <v>853783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f>'[6]OthRec&amp;Pay'!$B$6</f>
        <v>6367</v>
      </c>
      <c r="D72" s="151">
        <f>'[3]OtherRec'!$B$6</f>
        <v>2745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f>'[6]OthRec&amp;Pay'!$B$11</f>
        <v>179</v>
      </c>
      <c r="D73" s="151">
        <f>'[3]OtherRec'!$B$11</f>
        <v>21</v>
      </c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f>91333-4107</f>
        <v>87226</v>
      </c>
      <c r="D74" s="151">
        <f>'[3]OtherRec'!$B$14+'[3]OtherRec'!$B$13+'[3]OtherRec'!$B$12+'[3]OtherRec'!$B$10+'[3]OtherRec'!$B$9-D92</f>
        <v>44283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266011</v>
      </c>
      <c r="D75" s="155">
        <f>SUM(D67:D74)</f>
        <v>139364</v>
      </c>
      <c r="E75" s="251" t="s">
        <v>160</v>
      </c>
      <c r="F75" s="245" t="s">
        <v>234</v>
      </c>
      <c r="G75" s="152">
        <f>'[4]B20T&amp;OPay'!$B$17</f>
        <v>1413</v>
      </c>
      <c r="H75" s="152">
        <f>436+57+107</f>
        <v>600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>
        <v>3260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29610</v>
      </c>
      <c r="D78" s="155">
        <f>SUM(D79:D81)</f>
        <v>349130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f>'[6]SRFA (2)'!$D$25+'[6]SRFA (2)'!$D$26</f>
        <v>15002</v>
      </c>
      <c r="D79" s="151">
        <f>'[3]SRFA'!$B$106+'[3]SRFA'!$B$105+'[3]SRFA'!$B$108+'[3]SRFA'!$B$116+'[3]SRFA'!$B$128</f>
        <v>63226</v>
      </c>
      <c r="E79" s="251" t="s">
        <v>242</v>
      </c>
      <c r="F79" s="261" t="s">
        <v>243</v>
      </c>
      <c r="G79" s="162">
        <f>G71+G74+G75+G76</f>
        <v>714963</v>
      </c>
      <c r="H79" s="162">
        <f>H71+H74+H75+H76</f>
        <v>854383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f>'[6]SRFA (2)'!$D$29</f>
        <v>1306</v>
      </c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13302</v>
      </c>
      <c r="D81" s="151">
        <f>-D79+'[3]balance'!$C$18-D82</f>
        <v>285904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f>'[6]SRFA (2)'!$C$8</f>
        <v>109090</v>
      </c>
      <c r="D82" s="151">
        <f>'[3]SRFA'!$B$119+'[3]SRFA'!$B$118+'[3]SRFA'!$B$117</f>
        <v>9831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f>'[6]SRFA (2)'!$C$5+'[6]SRFA (2)'!$C$7</f>
        <v>300184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438884</v>
      </c>
      <c r="D84" s="155">
        <f>D83+D82+D78</f>
        <v>358961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f>'[6]Notes'!$B$77</f>
        <v>88651</v>
      </c>
      <c r="D87" s="151">
        <f>'[2]B12Cash'!$B$10</f>
        <v>68676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'[4]B12Cash'!$E$10+'[4]B12Cash'!$B$16-24288</f>
        <v>607518</v>
      </c>
      <c r="D88" s="151">
        <f>'[2]B12Cash'!$B$9-7262+337</f>
        <v>281863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f>'[6]Notes'!$B$69</f>
        <v>34947</v>
      </c>
      <c r="D89" s="151">
        <f>'[2]B12Cash'!$B$11</f>
        <v>3432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f>'[6]Notes'!$B$70</f>
        <v>17753</v>
      </c>
      <c r="D90" s="151">
        <f>'[2]B12Cash'!$B$12</f>
        <v>12577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748869</v>
      </c>
      <c r="D91" s="155">
        <f>SUM(D87:D90)</f>
        <v>366548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4107</v>
      </c>
      <c r="D92" s="151">
        <f>2040+844+203+1</f>
        <v>3088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1529743</v>
      </c>
      <c r="D93" s="155">
        <f>D64+D75+D84+D91+D92</f>
        <v>895022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2746844.4456</v>
      </c>
      <c r="D94" s="164">
        <f>D93+D55</f>
        <v>1631470.4605999999</v>
      </c>
      <c r="E94" s="449" t="s">
        <v>270</v>
      </c>
      <c r="F94" s="289" t="s">
        <v>271</v>
      </c>
      <c r="G94" s="165">
        <f>G36+G39+G55+G79</f>
        <v>2746843.6795</v>
      </c>
      <c r="H94" s="165">
        <f>H36+H39+H55+H79</f>
        <v>1631469.7507531764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3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view="pageBreakPreview" zoomScaleSheetLayoutView="100" workbookViewId="0" topLeftCell="A1">
      <selection activeCell="H25" sqref="H25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625" style="543" customWidth="1"/>
    <col min="5" max="5" width="37.375" style="566" customWidth="1"/>
    <col min="6" max="6" width="9.00390625" style="566" customWidth="1"/>
    <col min="7" max="7" width="11.625" style="543" customWidth="1"/>
    <col min="8" max="8" width="13.125" style="543" customWidth="1"/>
    <col min="9" max="16384" width="9.37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"Химимпорт" АД</v>
      </c>
      <c r="C2" s="589"/>
      <c r="D2" s="589"/>
      <c r="E2" s="589"/>
      <c r="F2" s="576" t="s">
        <v>2</v>
      </c>
      <c r="G2" s="576"/>
      <c r="H2" s="524">
        <f>'справка №1-БАЛАНС'!H3</f>
        <v>627519</v>
      </c>
    </row>
    <row r="3" spans="1:8" ht="15">
      <c r="A3" s="465" t="s">
        <v>275</v>
      </c>
      <c r="B3" s="589" t="str">
        <f>'справка №1-БАЛАНС'!E4</f>
        <v>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39447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f>3840+132360</f>
        <v>136200</v>
      </c>
      <c r="D9" s="46">
        <v>70608</v>
      </c>
      <c r="E9" s="298" t="s">
        <v>285</v>
      </c>
      <c r="F9" s="547" t="s">
        <v>286</v>
      </c>
      <c r="G9" s="548">
        <v>50132</v>
      </c>
      <c r="H9" s="548">
        <v>37678</v>
      </c>
    </row>
    <row r="10" spans="1:8" ht="12">
      <c r="A10" s="298" t="s">
        <v>287</v>
      </c>
      <c r="B10" s="299" t="s">
        <v>288</v>
      </c>
      <c r="C10" s="46">
        <f>194917+34220</f>
        <v>229137</v>
      </c>
      <c r="D10" s="46">
        <v>87584</v>
      </c>
      <c r="E10" s="298" t="s">
        <v>289</v>
      </c>
      <c r="F10" s="547" t="s">
        <v>290</v>
      </c>
      <c r="G10" s="548">
        <v>68165</v>
      </c>
      <c r="H10" s="548">
        <v>61057</v>
      </c>
    </row>
    <row r="11" spans="1:8" ht="12">
      <c r="A11" s="298" t="s">
        <v>291</v>
      </c>
      <c r="B11" s="299" t="s">
        <v>292</v>
      </c>
      <c r="C11" s="46">
        <f>14957+9006</f>
        <v>23963</v>
      </c>
      <c r="D11" s="46">
        <v>14223</v>
      </c>
      <c r="E11" s="300" t="s">
        <v>293</v>
      </c>
      <c r="F11" s="547" t="s">
        <v>294</v>
      </c>
      <c r="G11" s="548">
        <f>309243+56350</f>
        <v>365593</v>
      </c>
      <c r="H11" s="548">
        <v>135978</v>
      </c>
    </row>
    <row r="12" spans="1:8" ht="12">
      <c r="A12" s="298" t="s">
        <v>295</v>
      </c>
      <c r="B12" s="299" t="s">
        <v>296</v>
      </c>
      <c r="C12" s="46">
        <v>59001</v>
      </c>
      <c r="D12" s="46">
        <v>29630</v>
      </c>
      <c r="E12" s="300" t="s">
        <v>78</v>
      </c>
      <c r="F12" s="547" t="s">
        <v>297</v>
      </c>
      <c r="G12" s="548">
        <v>36138</v>
      </c>
      <c r="H12" s="548">
        <v>21009</v>
      </c>
    </row>
    <row r="13" spans="1:18" ht="12">
      <c r="A13" s="298" t="s">
        <v>298</v>
      </c>
      <c r="B13" s="299" t="s">
        <v>299</v>
      </c>
      <c r="C13" s="46">
        <v>13456</v>
      </c>
      <c r="D13" s="46">
        <v>9134</v>
      </c>
      <c r="E13" s="301" t="s">
        <v>51</v>
      </c>
      <c r="F13" s="549" t="s">
        <v>300</v>
      </c>
      <c r="G13" s="546">
        <f>SUM(G9:G12)</f>
        <v>520028</v>
      </c>
      <c r="H13" s="546">
        <f>SUM(H9:H12)</f>
        <v>255722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24">
      <c r="A14" s="298" t="s">
        <v>301</v>
      </c>
      <c r="B14" s="299" t="s">
        <v>302</v>
      </c>
      <c r="C14" s="46">
        <f>48596</f>
        <v>48596</v>
      </c>
      <c r="D14" s="46">
        <v>55774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>
        <v>0</v>
      </c>
      <c r="H15" s="548">
        <v>460</v>
      </c>
    </row>
    <row r="16" spans="1:8" ht="12">
      <c r="A16" s="298" t="s">
        <v>307</v>
      </c>
      <c r="B16" s="299" t="s">
        <v>308</v>
      </c>
      <c r="C16" s="47">
        <f>-'[6]NEW'!$H$19-'[6]NEW'!$C$54</f>
        <v>79631</v>
      </c>
      <c r="D16" s="47">
        <v>36998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16455</v>
      </c>
      <c r="D17" s="48">
        <v>11926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589984</v>
      </c>
      <c r="D19" s="49">
        <f>SUM(D9:D15)+D16</f>
        <v>303951</v>
      </c>
      <c r="E19" s="304" t="s">
        <v>317</v>
      </c>
      <c r="F19" s="550" t="s">
        <v>318</v>
      </c>
      <c r="G19" s="548">
        <f>'[4]opr_word'!$C$15</f>
        <v>93622</v>
      </c>
      <c r="H19" s="548">
        <v>66938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>
        <f>197919+4409</f>
        <v>202328</v>
      </c>
      <c r="H21" s="548">
        <v>86012</v>
      </c>
    </row>
    <row r="22" spans="1:8" ht="24">
      <c r="A22" s="304" t="s">
        <v>324</v>
      </c>
      <c r="B22" s="305" t="s">
        <v>325</v>
      </c>
      <c r="C22" s="46">
        <v>41274</v>
      </c>
      <c r="D22" s="46">
        <v>32558</v>
      </c>
      <c r="E22" s="304" t="s">
        <v>326</v>
      </c>
      <c r="F22" s="550" t="s">
        <v>327</v>
      </c>
      <c r="G22" s="548">
        <v>1365840</v>
      </c>
      <c r="H22" s="548">
        <v>1099876</v>
      </c>
    </row>
    <row r="23" spans="1:8" ht="24">
      <c r="A23" s="298" t="s">
        <v>328</v>
      </c>
      <c r="B23" s="305" t="s">
        <v>329</v>
      </c>
      <c r="C23" s="46">
        <v>68536</v>
      </c>
      <c r="D23" s="46">
        <v>31443</v>
      </c>
      <c r="E23" s="298" t="s">
        <v>330</v>
      </c>
      <c r="F23" s="550" t="s">
        <v>331</v>
      </c>
      <c r="G23" s="548">
        <f>159105+2567</f>
        <v>161672</v>
      </c>
      <c r="H23" s="548">
        <v>99713</v>
      </c>
    </row>
    <row r="24" spans="1:18" ht="24">
      <c r="A24" s="298" t="s">
        <v>332</v>
      </c>
      <c r="B24" s="305" t="s">
        <v>333</v>
      </c>
      <c r="C24" s="46">
        <v>1365293</v>
      </c>
      <c r="D24" s="46">
        <v>1085755</v>
      </c>
      <c r="E24" s="301" t="s">
        <v>103</v>
      </c>
      <c r="F24" s="552" t="s">
        <v>334</v>
      </c>
      <c r="G24" s="546">
        <f>SUM(G19:G23)</f>
        <v>1823462</v>
      </c>
      <c r="H24" s="546">
        <f>SUM(H19:H23)</f>
        <v>1352539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f>128094+7860+1127</f>
        <v>137081</v>
      </c>
      <c r="D25" s="46">
        <v>88545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1612184</v>
      </c>
      <c r="D26" s="49">
        <f>SUM(D22:D25)</f>
        <v>1238301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24">
      <c r="A28" s="127" t="s">
        <v>337</v>
      </c>
      <c r="B28" s="293" t="s">
        <v>338</v>
      </c>
      <c r="C28" s="50">
        <f>C26+C19</f>
        <v>2202168</v>
      </c>
      <c r="D28" s="50">
        <f>D26+D19</f>
        <v>1542252</v>
      </c>
      <c r="E28" s="127" t="s">
        <v>339</v>
      </c>
      <c r="F28" s="552" t="s">
        <v>340</v>
      </c>
      <c r="G28" s="546">
        <f>G13+G15+G24</f>
        <v>2343490</v>
      </c>
      <c r="H28" s="546">
        <f>H13+H15+H24</f>
        <v>1608721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141322</v>
      </c>
      <c r="D30" s="50">
        <f>IF((H28-D28)&gt;0,H28-D28,0)</f>
        <v>66469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>
        <v>203</v>
      </c>
      <c r="D31" s="46">
        <v>0</v>
      </c>
      <c r="E31" s="296" t="s">
        <v>856</v>
      </c>
      <c r="F31" s="550" t="s">
        <v>346</v>
      </c>
      <c r="G31" s="548">
        <v>0</v>
      </c>
      <c r="H31" s="548">
        <v>519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2202371</v>
      </c>
      <c r="D33" s="49">
        <f>D28+D31+D32</f>
        <v>1542252</v>
      </c>
      <c r="E33" s="127" t="s">
        <v>353</v>
      </c>
      <c r="F33" s="552" t="s">
        <v>354</v>
      </c>
      <c r="G33" s="53">
        <f>G32+G31+G28</f>
        <v>2343490</v>
      </c>
      <c r="H33" s="53">
        <f>H32+H31+H28</f>
        <v>1609240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141119</v>
      </c>
      <c r="D34" s="50">
        <f>IF((H33-D33)&gt;0,H33-D33,0)</f>
        <v>66988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4829</v>
      </c>
      <c r="D35" s="49">
        <f>D36+D37+D38</f>
        <v>6218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24">
      <c r="A36" s="309" t="s">
        <v>361</v>
      </c>
      <c r="B36" s="305" t="s">
        <v>362</v>
      </c>
      <c r="C36" s="46">
        <v>6380</v>
      </c>
      <c r="D36" s="46">
        <v>6813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-1551</v>
      </c>
      <c r="D37" s="430">
        <v>-595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5"/>
      <c r="G38" s="551"/>
      <c r="H38" s="551"/>
    </row>
    <row r="39" spans="1:18" ht="24">
      <c r="A39" s="312" t="s">
        <v>367</v>
      </c>
      <c r="B39" s="129" t="s">
        <v>368</v>
      </c>
      <c r="C39" s="458">
        <f>+IF((G33-C33-C35)&gt;0,G33-C33-C35,0)</f>
        <v>136290</v>
      </c>
      <c r="D39" s="458">
        <f>+IF((H33-D33-D35)&gt;0,H33-D33-D35,0)</f>
        <v>60770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f>'[4]opr_word'!$C$33</f>
        <v>17180</v>
      </c>
      <c r="D40" s="51">
        <v>7440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119110</v>
      </c>
      <c r="D41" s="52">
        <f>IF(H39=0,IF(D39-D40&gt;0,D39-D40+H40,0),IF(H39-H40&lt;0,H40-H39+D39,0))</f>
        <v>53330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2343490</v>
      </c>
      <c r="D42" s="53">
        <f>D33+D35+D39</f>
        <v>1609240</v>
      </c>
      <c r="E42" s="128" t="s">
        <v>380</v>
      </c>
      <c r="F42" s="129" t="s">
        <v>381</v>
      </c>
      <c r="G42" s="53">
        <f>G39+G33</f>
        <v>2343490</v>
      </c>
      <c r="H42" s="53">
        <f>H39+H33</f>
        <v>1609240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574">
        <v>39567</v>
      </c>
      <c r="C48" s="427" t="s">
        <v>383</v>
      </c>
      <c r="D48" s="587"/>
      <c r="E48" s="587"/>
      <c r="F48" s="587"/>
      <c r="G48" s="587"/>
      <c r="H48" s="587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783</v>
      </c>
      <c r="D50" s="588"/>
      <c r="E50" s="588"/>
      <c r="F50" s="588"/>
      <c r="G50" s="588"/>
      <c r="H50" s="588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SheetLayoutView="100" workbookViewId="0" topLeftCell="A31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375" style="541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"Химимпорт" АД</v>
      </c>
      <c r="C4" s="539" t="s">
        <v>2</v>
      </c>
      <c r="D4" s="539">
        <f>'справка №1-БАЛАНС'!H3</f>
        <v>627519</v>
      </c>
      <c r="E4" s="323"/>
      <c r="F4" s="323"/>
    </row>
    <row r="5" spans="1:4" ht="15">
      <c r="A5" s="468" t="s">
        <v>275</v>
      </c>
      <c r="B5" s="468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39447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f>179821+480366+27003+19532107+81202-11022</f>
        <v>20289477</v>
      </c>
      <c r="D10" s="54">
        <f>128561+274309+12725+11945090+52940</f>
        <v>12413625</v>
      </c>
      <c r="E10" s="130"/>
      <c r="F10" s="130"/>
    </row>
    <row r="11" spans="1:13" ht="12">
      <c r="A11" s="332" t="s">
        <v>390</v>
      </c>
      <c r="B11" s="333" t="s">
        <v>391</v>
      </c>
      <c r="C11" s="54">
        <f>-76303-19248755-3322-369904-106828</f>
        <v>-19805112</v>
      </c>
      <c r="D11" s="54">
        <f>-122405-237487-11775778-40242</f>
        <v>-12175912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392</v>
      </c>
      <c r="B12" s="333" t="s">
        <v>393</v>
      </c>
      <c r="C12" s="54">
        <f>-283211+174592</f>
        <v>-108619</v>
      </c>
      <c r="D12" s="54">
        <f>-293297+246357</f>
        <v>-46940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-67265</v>
      </c>
      <c r="D13" s="54">
        <v>-21814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-251</v>
      </c>
      <c r="D14" s="54">
        <v>-865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-3088</v>
      </c>
      <c r="D15" s="54">
        <v>-2096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402</v>
      </c>
      <c r="B17" s="333" t="s">
        <v>403</v>
      </c>
      <c r="C17" s="54">
        <v>-4928</v>
      </c>
      <c r="D17" s="54">
        <v>-3586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254</v>
      </c>
      <c r="D18" s="54">
        <v>1526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-32662</v>
      </c>
      <c r="D19" s="54">
        <f>-6613-3242</f>
        <v>-9855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267806</v>
      </c>
      <c r="D20" s="55">
        <f>SUM(D10:D19)</f>
        <v>154083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f>-176533-2663</f>
        <v>-179196</v>
      </c>
      <c r="D22" s="54">
        <f>-56748-350</f>
        <v>-57098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f>61581+995</f>
        <v>62576</v>
      </c>
      <c r="D23" s="54">
        <v>4727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8664</v>
      </c>
      <c r="D26" s="54">
        <v>132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-1366</v>
      </c>
      <c r="D27" s="54">
        <v>-67837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82996</v>
      </c>
      <c r="D28" s="54">
        <v>1705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-1038</v>
      </c>
      <c r="D31" s="54">
        <v>3556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-27364</v>
      </c>
      <c r="D32" s="55">
        <f>SUM(D22:D31)</f>
        <v>-114815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220018</v>
      </c>
      <c r="D34" s="54">
        <v>46418</v>
      </c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121264</v>
      </c>
      <c r="D36" s="54">
        <v>140746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-163365</v>
      </c>
      <c r="D37" s="54">
        <v>-95851</v>
      </c>
      <c r="E37" s="130"/>
      <c r="F37" s="130"/>
    </row>
    <row r="38" spans="1:6" ht="12">
      <c r="A38" s="332" t="s">
        <v>441</v>
      </c>
      <c r="B38" s="333" t="s">
        <v>442</v>
      </c>
      <c r="C38" s="54">
        <v>-3001</v>
      </c>
      <c r="D38" s="54">
        <v>-1475</v>
      </c>
      <c r="E38" s="130"/>
      <c r="F38" s="130"/>
    </row>
    <row r="39" spans="1:6" ht="12">
      <c r="A39" s="332" t="s">
        <v>443</v>
      </c>
      <c r="B39" s="333" t="s">
        <v>444</v>
      </c>
      <c r="C39" s="54">
        <v>-3598</v>
      </c>
      <c r="D39" s="54">
        <v>-10480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-29439</v>
      </c>
      <c r="D41" s="54">
        <v>17709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141879</v>
      </c>
      <c r="D42" s="55">
        <f>SUM(D34:D41)</f>
        <v>97067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382321</v>
      </c>
      <c r="D43" s="55">
        <f>D42+D32+D20</f>
        <v>136335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366548</v>
      </c>
      <c r="D44" s="132">
        <v>230213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748869</v>
      </c>
      <c r="D45" s="55">
        <f>D44+D43</f>
        <v>366548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'справка №1-БАЛАНС'!C91-'справка №3-ОПП по прекия метод'!C47</f>
        <v>708177</v>
      </c>
      <c r="D46" s="56">
        <v>353538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f>'[4]B12Cash'!$B$11</f>
        <v>40692</v>
      </c>
      <c r="D47" s="56">
        <v>2683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575">
        <v>39567</v>
      </c>
      <c r="B50" s="436" t="s">
        <v>383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21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view="pageBreakPreview" zoomScaleSheetLayoutView="100" workbookViewId="0" topLeftCell="A8">
      <selection activeCell="A39" sqref="A39"/>
    </sheetView>
  </sheetViews>
  <sheetFormatPr defaultColWidth="9.00390625" defaultRowHeight="12.75"/>
  <cols>
    <col min="1" max="1" width="48.50390625" style="537" customWidth="1"/>
    <col min="2" max="2" width="8.375" style="53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0" customFormat="1" ht="24" customHeight="1">
      <c r="A1" s="579" t="s">
        <v>461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2" t="str">
        <f>'справка №1-БАЛАНС'!E3</f>
        <v>"Химимпорт" АД</v>
      </c>
      <c r="C3" s="592"/>
      <c r="D3" s="592"/>
      <c r="E3" s="592"/>
      <c r="F3" s="592"/>
      <c r="G3" s="592"/>
      <c r="H3" s="592"/>
      <c r="I3" s="592"/>
      <c r="J3" s="474"/>
      <c r="K3" s="594" t="s">
        <v>2</v>
      </c>
      <c r="L3" s="594"/>
      <c r="M3" s="476">
        <f>'справка №1-БАЛАНС'!H3</f>
        <v>627519</v>
      </c>
      <c r="N3" s="2"/>
    </row>
    <row r="4" spans="1:15" s="530" customFormat="1" ht="13.5" customHeight="1">
      <c r="A4" s="465" t="s">
        <v>462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6">
        <f>'справка №1-БАЛАНС'!E5</f>
        <v>39447</v>
      </c>
      <c r="C5" s="596"/>
      <c r="D5" s="596"/>
      <c r="E5" s="596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130000</v>
      </c>
      <c r="D11" s="58">
        <f>'справка №1-БАЛАНС'!H19</f>
        <v>32925</v>
      </c>
      <c r="E11" s="58">
        <f>'справка №1-БАЛАНС'!H20</f>
        <v>281</v>
      </c>
      <c r="F11" s="58">
        <f>'справка №1-БАЛАНС'!H22</f>
        <v>1643</v>
      </c>
      <c r="G11" s="58">
        <f>'справка №1-БАЛАНС'!H23</f>
        <v>0</v>
      </c>
      <c r="H11" s="60">
        <v>1275</v>
      </c>
      <c r="I11" s="58">
        <f>'справка №1-БАЛАНС'!H28+'справка №1-БАЛАНС'!H31</f>
        <v>123946.75075317635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290070.75075317634</v>
      </c>
      <c r="M11" s="58">
        <f>'справка №1-БАЛАНС'!H39</f>
        <v>61033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130000</v>
      </c>
      <c r="D15" s="61">
        <f aca="true" t="shared" si="2" ref="D15:M15">D11+D12</f>
        <v>32925</v>
      </c>
      <c r="E15" s="61">
        <f t="shared" si="2"/>
        <v>281</v>
      </c>
      <c r="F15" s="61">
        <f t="shared" si="2"/>
        <v>1643</v>
      </c>
      <c r="G15" s="61">
        <f t="shared" si="2"/>
        <v>0</v>
      </c>
      <c r="H15" s="61">
        <f t="shared" si="2"/>
        <v>1275</v>
      </c>
      <c r="I15" s="61">
        <f t="shared" si="2"/>
        <v>123946.75075317635</v>
      </c>
      <c r="J15" s="61">
        <f t="shared" si="2"/>
        <v>0</v>
      </c>
      <c r="K15" s="61">
        <f t="shared" si="2"/>
        <v>0</v>
      </c>
      <c r="L15" s="344">
        <f t="shared" si="1"/>
        <v>290070.75075317634</v>
      </c>
      <c r="M15" s="61">
        <f t="shared" si="2"/>
        <v>61033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119109.6795</v>
      </c>
      <c r="J16" s="345">
        <f>+'справка №1-БАЛАНС'!G32</f>
        <v>0</v>
      </c>
      <c r="K16" s="60"/>
      <c r="L16" s="344">
        <f t="shared" si="1"/>
        <v>119109.6795</v>
      </c>
      <c r="M16" s="60">
        <f>'справка №2-ОТЧЕТ ЗА ДОХОДИТЕ'!C40</f>
        <v>17180</v>
      </c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f>'[5]SChC'!$B$93</f>
        <v>20000</v>
      </c>
      <c r="D28" s="60">
        <f>'[5]SChC'!$D$93</f>
        <v>199418</v>
      </c>
      <c r="E28" s="60">
        <v>-281</v>
      </c>
      <c r="F28" s="60">
        <v>761</v>
      </c>
      <c r="G28" s="60"/>
      <c r="H28" s="60">
        <v>0</v>
      </c>
      <c r="I28" s="60">
        <f>'[5]SChC'!$G$97</f>
        <v>640</v>
      </c>
      <c r="J28" s="60"/>
      <c r="K28" s="60"/>
      <c r="L28" s="344">
        <f t="shared" si="1"/>
        <v>220538</v>
      </c>
      <c r="M28" s="60">
        <f>'[5]SChC'!$H$95+'[5]SChC'!$H$97</f>
        <v>101664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150000</v>
      </c>
      <c r="D29" s="59">
        <f aca="true" t="shared" si="6" ref="D29:M29">D17+D20+D21+D24+D28+D27+D15+D16</f>
        <v>232343</v>
      </c>
      <c r="E29" s="59">
        <f t="shared" si="6"/>
        <v>0</v>
      </c>
      <c r="F29" s="59">
        <f t="shared" si="6"/>
        <v>2404</v>
      </c>
      <c r="G29" s="59">
        <f t="shared" si="6"/>
        <v>0</v>
      </c>
      <c r="H29" s="59">
        <f t="shared" si="6"/>
        <v>1275</v>
      </c>
      <c r="I29" s="59">
        <f t="shared" si="6"/>
        <v>243696.43025317637</v>
      </c>
      <c r="J29" s="59">
        <f t="shared" si="6"/>
        <v>0</v>
      </c>
      <c r="K29" s="59">
        <f t="shared" si="6"/>
        <v>0</v>
      </c>
      <c r="L29" s="344">
        <f t="shared" si="1"/>
        <v>629718.4302531764</v>
      </c>
      <c r="M29" s="59">
        <f t="shared" si="6"/>
        <v>179877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150000</v>
      </c>
      <c r="D32" s="59">
        <f t="shared" si="7"/>
        <v>232343</v>
      </c>
      <c r="E32" s="59">
        <f t="shared" si="7"/>
        <v>0</v>
      </c>
      <c r="F32" s="59">
        <f t="shared" si="7"/>
        <v>2404</v>
      </c>
      <c r="G32" s="59">
        <f t="shared" si="7"/>
        <v>0</v>
      </c>
      <c r="H32" s="59">
        <f t="shared" si="7"/>
        <v>1275</v>
      </c>
      <c r="I32" s="59">
        <f t="shared" si="7"/>
        <v>243696.43025317637</v>
      </c>
      <c r="J32" s="59">
        <f t="shared" si="7"/>
        <v>0</v>
      </c>
      <c r="K32" s="59">
        <f t="shared" si="7"/>
        <v>0</v>
      </c>
      <c r="L32" s="344">
        <f t="shared" si="1"/>
        <v>629718.4302531764</v>
      </c>
      <c r="M32" s="59">
        <f>M29+M30+M31</f>
        <v>179877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875</v>
      </c>
      <c r="B38" s="19"/>
      <c r="C38" s="15"/>
      <c r="D38" s="591" t="s">
        <v>523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SheetLayoutView="100" workbookViewId="0" topLeftCell="A16">
      <selection activeCell="H63" sqref="H6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385</v>
      </c>
      <c r="B2" s="598"/>
      <c r="C2" s="599" t="str">
        <f>'справка №1-БАЛАНС'!E3</f>
        <v>"Химимпорт" АД</v>
      </c>
      <c r="D2" s="599"/>
      <c r="E2" s="599"/>
      <c r="F2" s="599"/>
      <c r="G2" s="599"/>
      <c r="H2" s="599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627519</v>
      </c>
      <c r="P2" s="481"/>
      <c r="Q2" s="481"/>
      <c r="R2" s="524"/>
    </row>
    <row r="3" spans="1:18" ht="15">
      <c r="A3" s="597" t="s">
        <v>5</v>
      </c>
      <c r="B3" s="598"/>
      <c r="C3" s="600">
        <f>'справка №1-БАЛАНС'!E5</f>
        <v>39447</v>
      </c>
      <c r="D3" s="600"/>
      <c r="E3" s="600"/>
      <c r="F3" s="483"/>
      <c r="G3" s="483"/>
      <c r="H3" s="483"/>
      <c r="I3" s="483"/>
      <c r="J3" s="483"/>
      <c r="K3" s="483"/>
      <c r="L3" s="483"/>
      <c r="M3" s="601" t="s">
        <v>4</v>
      </c>
      <c r="N3" s="601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525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526</v>
      </c>
    </row>
    <row r="5" spans="1:18" s="100" customFormat="1" ht="30.75" customHeight="1">
      <c r="A5" s="602" t="s">
        <v>465</v>
      </c>
      <c r="B5" s="603"/>
      <c r="C5" s="60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1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1" t="s">
        <v>531</v>
      </c>
      <c r="R5" s="611" t="s">
        <v>532</v>
      </c>
    </row>
    <row r="6" spans="1:18" s="100" customFormat="1" ht="60">
      <c r="A6" s="604"/>
      <c r="B6" s="605"/>
      <c r="C6" s="60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2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2"/>
      <c r="R6" s="612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f>'[4]B1PPE'!$B$103</f>
        <v>28668</v>
      </c>
      <c r="E9" s="189">
        <f>3425+56286</f>
        <v>59711</v>
      </c>
      <c r="F9" s="189">
        <f>-'[4]B1PPE'!$B$112</f>
        <v>741</v>
      </c>
      <c r="G9" s="74">
        <f>D9+E9-F9</f>
        <v>87638</v>
      </c>
      <c r="H9" s="65"/>
      <c r="I9" s="65"/>
      <c r="J9" s="74">
        <f>G9+H9-I9</f>
        <v>87638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87638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58579</v>
      </c>
      <c r="E10" s="189">
        <f>2995+60523</f>
        <v>63518</v>
      </c>
      <c r="F10" s="189">
        <f>-'[4]B1PPE'!$C$112</f>
        <v>198</v>
      </c>
      <c r="G10" s="74">
        <f aca="true" t="shared" si="2" ref="G10:G39">D10+E10-F10</f>
        <v>121899</v>
      </c>
      <c r="H10" s="65"/>
      <c r="I10" s="65"/>
      <c r="J10" s="74">
        <f aca="true" t="shared" si="3" ref="J10:J39">G10+H10-I10</f>
        <v>121899</v>
      </c>
      <c r="K10" s="65">
        <v>11554</v>
      </c>
      <c r="L10" s="65">
        <f>793+1895</f>
        <v>2688</v>
      </c>
      <c r="M10" s="65">
        <f>'[4]B1PPE'!$C$113</f>
        <v>69</v>
      </c>
      <c r="N10" s="74">
        <f aca="true" t="shared" si="4" ref="N10:N39">K10+L10-M10</f>
        <v>14173</v>
      </c>
      <c r="O10" s="65"/>
      <c r="P10" s="65"/>
      <c r="Q10" s="74">
        <f t="shared" si="0"/>
        <v>14173</v>
      </c>
      <c r="R10" s="74">
        <f t="shared" si="1"/>
        <v>107726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37490</v>
      </c>
      <c r="E11" s="189">
        <f>'[4]B1PPE'!$D$109+'[4]B1PPE'!$D$111</f>
        <v>27410</v>
      </c>
      <c r="F11" s="189">
        <f>-'[4]B1PPE'!$D$112</f>
        <v>426</v>
      </c>
      <c r="G11" s="74">
        <f t="shared" si="2"/>
        <v>64474</v>
      </c>
      <c r="H11" s="65"/>
      <c r="I11" s="65"/>
      <c r="J11" s="74">
        <f t="shared" si="3"/>
        <v>64474</v>
      </c>
      <c r="K11" s="65">
        <v>17246</v>
      </c>
      <c r="L11" s="65">
        <f>-'[4]B1PPE'!$D$110-'[4]B1PPE'!$D$114</f>
        <v>5869</v>
      </c>
      <c r="M11" s="65">
        <f>'[4]B1PPE'!$D$113</f>
        <v>1602</v>
      </c>
      <c r="N11" s="74">
        <f t="shared" si="4"/>
        <v>21513</v>
      </c>
      <c r="O11" s="65"/>
      <c r="P11" s="65"/>
      <c r="Q11" s="74">
        <f t="shared" si="0"/>
        <v>21513</v>
      </c>
      <c r="R11" s="74">
        <f t="shared" si="1"/>
        <v>42961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52345</v>
      </c>
      <c r="E12" s="189">
        <f>'[4]B1PPE'!$E$109+'[4]B1PPE'!$E$111</f>
        <v>28837</v>
      </c>
      <c r="F12" s="189">
        <f>-'[4]B1PPE'!$E$112</f>
        <v>591</v>
      </c>
      <c r="G12" s="74">
        <f t="shared" si="2"/>
        <v>80591</v>
      </c>
      <c r="H12" s="65"/>
      <c r="I12" s="65"/>
      <c r="J12" s="74">
        <f t="shared" si="3"/>
        <v>80591</v>
      </c>
      <c r="K12" s="65">
        <v>14684</v>
      </c>
      <c r="L12" s="65">
        <f>-'[4]B1PPE'!$E$114-'[4]B1PPE'!$E$110</f>
        <v>576</v>
      </c>
      <c r="M12" s="65">
        <f>'[4]B1PPE'!$E$113</f>
        <v>546</v>
      </c>
      <c r="N12" s="74">
        <f t="shared" si="4"/>
        <v>14714</v>
      </c>
      <c r="O12" s="65"/>
      <c r="P12" s="65"/>
      <c r="Q12" s="74">
        <f t="shared" si="0"/>
        <v>14714</v>
      </c>
      <c r="R12" s="74">
        <f t="shared" si="1"/>
        <v>65877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53646</v>
      </c>
      <c r="E13" s="189">
        <f>'[4]B1PPE'!$F$109+'[4]B1PPE'!$F$111</f>
        <v>34934</v>
      </c>
      <c r="F13" s="189">
        <f>-'[4]B1PPE'!$F$112</f>
        <v>14309</v>
      </c>
      <c r="G13" s="74">
        <f t="shared" si="2"/>
        <v>74271</v>
      </c>
      <c r="H13" s="65"/>
      <c r="I13" s="65"/>
      <c r="J13" s="74">
        <f t="shared" si="3"/>
        <v>74271</v>
      </c>
      <c r="K13" s="65">
        <v>6392</v>
      </c>
      <c r="L13" s="65">
        <f>-'[4]B1PPE'!$F$110-'[4]B1PPE'!$F$114</f>
        <v>11460</v>
      </c>
      <c r="M13" s="65">
        <f>'[4]B1PPE'!$F$113</f>
        <v>1164</v>
      </c>
      <c r="N13" s="74">
        <f t="shared" si="4"/>
        <v>16688</v>
      </c>
      <c r="O13" s="65"/>
      <c r="P13" s="65"/>
      <c r="Q13" s="74">
        <f t="shared" si="0"/>
        <v>16688</v>
      </c>
      <c r="R13" s="74">
        <f t="shared" si="1"/>
        <v>57583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36">
      <c r="A15" s="453" t="s">
        <v>860</v>
      </c>
      <c r="B15" s="374" t="s">
        <v>861</v>
      </c>
      <c r="C15" s="454" t="s">
        <v>862</v>
      </c>
      <c r="D15" s="455">
        <f>'[4]B1PPE'!$H$103</f>
        <v>17001</v>
      </c>
      <c r="E15" s="455">
        <f>'[4]B1PPE'!$H$109+'[4]B1PPE'!$H$111</f>
        <v>63979</v>
      </c>
      <c r="F15" s="455">
        <f>-'[4]B1PPE'!$H$112</f>
        <v>13285</v>
      </c>
      <c r="G15" s="74">
        <f t="shared" si="2"/>
        <v>67695</v>
      </c>
      <c r="H15" s="456"/>
      <c r="I15" s="456"/>
      <c r="J15" s="74">
        <f t="shared" si="3"/>
        <v>67695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67695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23203</v>
      </c>
      <c r="E16" s="189">
        <f>'[4]B1PPE'!$G$109+'[4]B1PPE'!$G$111</f>
        <v>1845</v>
      </c>
      <c r="F16" s="189">
        <f>-'[4]B1PPE'!$G$112</f>
        <v>68</v>
      </c>
      <c r="G16" s="74">
        <f t="shared" si="2"/>
        <v>24980</v>
      </c>
      <c r="H16" s="65"/>
      <c r="I16" s="65"/>
      <c r="J16" s="74">
        <f t="shared" si="3"/>
        <v>24980</v>
      </c>
      <c r="K16" s="65">
        <v>19831</v>
      </c>
      <c r="L16" s="65">
        <f>-'[4]B1PPE'!$G$110-'[4]B1PPE'!$G$114</f>
        <v>409</v>
      </c>
      <c r="M16" s="65">
        <f>'[4]B1PPE'!$G$113</f>
        <v>65</v>
      </c>
      <c r="N16" s="74">
        <f t="shared" si="4"/>
        <v>20175</v>
      </c>
      <c r="O16" s="65"/>
      <c r="P16" s="65"/>
      <c r="Q16" s="74">
        <f aca="true" t="shared" si="5" ref="Q16:Q25">N16+O16-P16</f>
        <v>20175</v>
      </c>
      <c r="R16" s="74">
        <f aca="true" t="shared" si="6" ref="R16:R25">J16-Q16</f>
        <v>4805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270932</v>
      </c>
      <c r="E17" s="194">
        <f>SUM(E9:E16)</f>
        <v>280234</v>
      </c>
      <c r="F17" s="194">
        <f>SUM(F9:F16)</f>
        <v>29618</v>
      </c>
      <c r="G17" s="74">
        <f t="shared" si="2"/>
        <v>521548</v>
      </c>
      <c r="H17" s="75">
        <f>SUM(H9:H16)</f>
        <v>0</v>
      </c>
      <c r="I17" s="75">
        <f>SUM(I9:I16)</f>
        <v>0</v>
      </c>
      <c r="J17" s="74">
        <f t="shared" si="3"/>
        <v>521548</v>
      </c>
      <c r="K17" s="75">
        <f>SUM(K9:K16)</f>
        <v>69707</v>
      </c>
      <c r="L17" s="75">
        <f>SUM(L9:L16)</f>
        <v>21002</v>
      </c>
      <c r="M17" s="75">
        <f>SUM(M9:M16)</f>
        <v>3446</v>
      </c>
      <c r="N17" s="74">
        <f t="shared" si="4"/>
        <v>87263</v>
      </c>
      <c r="O17" s="75">
        <f>SUM(O9:O16)</f>
        <v>0</v>
      </c>
      <c r="P17" s="75">
        <f>SUM(P9:P16)</f>
        <v>0</v>
      </c>
      <c r="Q17" s="74">
        <f t="shared" si="5"/>
        <v>87263</v>
      </c>
      <c r="R17" s="74">
        <f t="shared" si="6"/>
        <v>434285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f>'[4]B3InvP'!$D$15</f>
        <v>11672</v>
      </c>
      <c r="E18" s="187">
        <f>'[4]B3InvP'!$B$41+'[4]B3InvP'!$C$41+'[4]B3InvP'!$C$42</f>
        <v>7848</v>
      </c>
      <c r="F18" s="187">
        <f>-'[4]B3InvP'!$C$43</f>
        <v>17</v>
      </c>
      <c r="G18" s="74">
        <f t="shared" si="2"/>
        <v>19503</v>
      </c>
      <c r="H18" s="63"/>
      <c r="I18" s="63"/>
      <c r="J18" s="74">
        <f t="shared" si="3"/>
        <v>19503</v>
      </c>
      <c r="K18" s="63">
        <f>-'[4]B3InvP'!$D$16</f>
        <v>1127</v>
      </c>
      <c r="L18" s="63">
        <f>-'[4]B3InvP'!$D$45</f>
        <v>242</v>
      </c>
      <c r="M18" s="63">
        <v>0</v>
      </c>
      <c r="N18" s="74">
        <f t="shared" si="4"/>
        <v>1369</v>
      </c>
      <c r="O18" s="63"/>
      <c r="P18" s="63"/>
      <c r="Q18" s="74">
        <f t="shared" si="5"/>
        <v>1369</v>
      </c>
      <c r="R18" s="74">
        <f t="shared" si="6"/>
        <v>18134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f>'[4]B2IntA'!$C$15+'[4]B2IntA'!$D$15</f>
        <v>3657</v>
      </c>
      <c r="E21" s="189">
        <f>'[4]B2IntA'!$C$40+'[4]B2IntA'!$D$40+'[4]B2IntA'!$C$42+'[4]B2IntA'!$D$42</f>
        <v>32147</v>
      </c>
      <c r="F21" s="189">
        <f>-'[4]B2IntA'!$C$43+'[4]B2IntA'!$D$43</f>
        <v>55</v>
      </c>
      <c r="G21" s="74">
        <f t="shared" si="2"/>
        <v>35749</v>
      </c>
      <c r="H21" s="65"/>
      <c r="I21" s="65"/>
      <c r="J21" s="74">
        <f t="shared" si="3"/>
        <v>35749</v>
      </c>
      <c r="K21" s="65">
        <f>-'[4]B2IntA'!$C$16-'[4]B2IntA'!$D$16</f>
        <v>2077</v>
      </c>
      <c r="L21" s="65">
        <f>-'[4]B2IntA'!$C$47-'[4]B2IntA'!$D$47-'[4]B2IntA'!$D$41</f>
        <v>3786</v>
      </c>
      <c r="M21" s="65">
        <f>'[4]B2IntA'!$C$44+'[4]B2IntA'!$D$44</f>
        <v>190</v>
      </c>
      <c r="N21" s="74">
        <f t="shared" si="4"/>
        <v>5673</v>
      </c>
      <c r="O21" s="65"/>
      <c r="P21" s="65"/>
      <c r="Q21" s="74">
        <f t="shared" si="5"/>
        <v>5673</v>
      </c>
      <c r="R21" s="74">
        <f t="shared" si="6"/>
        <v>30076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f>'[4]B2IntA'!$E$15</f>
        <v>1247</v>
      </c>
      <c r="E22" s="189">
        <f>'[4]B2IntA'!$E$40+'[4]B2IntA'!$E$42</f>
        <v>224</v>
      </c>
      <c r="F22" s="189">
        <f>-'[4]B2IntA'!$E$43</f>
        <v>482</v>
      </c>
      <c r="G22" s="74">
        <f t="shared" si="2"/>
        <v>989</v>
      </c>
      <c r="H22" s="65"/>
      <c r="I22" s="65"/>
      <c r="J22" s="74">
        <f t="shared" si="3"/>
        <v>989</v>
      </c>
      <c r="K22" s="65">
        <f>-'[4]B2IntA'!$E$16</f>
        <v>792</v>
      </c>
      <c r="L22" s="65">
        <f>-'[4]B2IntA'!$E$47</f>
        <v>365</v>
      </c>
      <c r="M22" s="65">
        <f>'[4]B2IntA'!$E$44</f>
        <v>480</v>
      </c>
      <c r="N22" s="74">
        <f t="shared" si="4"/>
        <v>677</v>
      </c>
      <c r="O22" s="65"/>
      <c r="P22" s="65"/>
      <c r="Q22" s="74">
        <f t="shared" si="5"/>
        <v>677</v>
      </c>
      <c r="R22" s="74">
        <f t="shared" si="6"/>
        <v>312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f>'[4]B2IntA'!$B$15</f>
        <v>54</v>
      </c>
      <c r="E23" s="189">
        <f>'[4]B2IntA'!$B$40+'[4]B2IntA'!$B$42</f>
        <v>0</v>
      </c>
      <c r="F23" s="189">
        <f>-'[4]B2IntA'!$B$43</f>
        <v>2</v>
      </c>
      <c r="G23" s="74">
        <f t="shared" si="2"/>
        <v>52</v>
      </c>
      <c r="H23" s="65"/>
      <c r="I23" s="65"/>
      <c r="J23" s="74">
        <f t="shared" si="3"/>
        <v>52</v>
      </c>
      <c r="K23" s="65">
        <f>-'[4]B2IntA'!$B$16</f>
        <v>52</v>
      </c>
      <c r="L23" s="65">
        <f>-'[4]B2IntA'!$B$47</f>
        <v>0</v>
      </c>
      <c r="M23" s="65">
        <v>0</v>
      </c>
      <c r="N23" s="74">
        <f t="shared" si="4"/>
        <v>52</v>
      </c>
      <c r="O23" s="65"/>
      <c r="P23" s="65"/>
      <c r="Q23" s="74">
        <f t="shared" si="5"/>
        <v>52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f>'[4]B2IntA'!$F$15</f>
        <v>6975</v>
      </c>
      <c r="E24" s="189">
        <f>'[4]B2IntA'!$F$42</f>
        <v>16061</v>
      </c>
      <c r="F24" s="189">
        <f>-'[4]B2IntA'!$F$43</f>
        <v>22</v>
      </c>
      <c r="G24" s="74">
        <f t="shared" si="2"/>
        <v>23014</v>
      </c>
      <c r="H24" s="65"/>
      <c r="I24" s="65"/>
      <c r="J24" s="74">
        <f t="shared" si="3"/>
        <v>23014</v>
      </c>
      <c r="K24" s="65">
        <f>-'[4]B2IntA'!$F$16</f>
        <v>2102</v>
      </c>
      <c r="L24" s="65">
        <f>-'[4]B2IntA'!$F$47</f>
        <v>1455</v>
      </c>
      <c r="M24" s="65">
        <f>'[4]B2IntA'!$F$44</f>
        <v>224</v>
      </c>
      <c r="N24" s="74">
        <f t="shared" si="4"/>
        <v>3333</v>
      </c>
      <c r="O24" s="65"/>
      <c r="P24" s="65"/>
      <c r="Q24" s="74">
        <f t="shared" si="5"/>
        <v>3333</v>
      </c>
      <c r="R24" s="74">
        <f t="shared" si="6"/>
        <v>19681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584</v>
      </c>
      <c r="D25" s="190">
        <f>SUM(D21:D24)</f>
        <v>11933</v>
      </c>
      <c r="E25" s="190">
        <f aca="true" t="shared" si="7" ref="E25:P25">SUM(E21:E24)</f>
        <v>48432</v>
      </c>
      <c r="F25" s="190">
        <f t="shared" si="7"/>
        <v>561</v>
      </c>
      <c r="G25" s="67">
        <f t="shared" si="2"/>
        <v>59804</v>
      </c>
      <c r="H25" s="66">
        <f t="shared" si="7"/>
        <v>0</v>
      </c>
      <c r="I25" s="66">
        <f t="shared" si="7"/>
        <v>0</v>
      </c>
      <c r="J25" s="67">
        <f t="shared" si="3"/>
        <v>59804</v>
      </c>
      <c r="K25" s="66">
        <f t="shared" si="7"/>
        <v>5023</v>
      </c>
      <c r="L25" s="66">
        <f t="shared" si="7"/>
        <v>5606</v>
      </c>
      <c r="M25" s="66">
        <f t="shared" si="7"/>
        <v>894</v>
      </c>
      <c r="N25" s="67">
        <f t="shared" si="4"/>
        <v>9735</v>
      </c>
      <c r="O25" s="66">
        <f t="shared" si="7"/>
        <v>0</v>
      </c>
      <c r="P25" s="66">
        <f t="shared" si="7"/>
        <v>0</v>
      </c>
      <c r="Q25" s="67">
        <f t="shared" si="5"/>
        <v>9735</v>
      </c>
      <c r="R25" s="67">
        <f t="shared" si="6"/>
        <v>50069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854</v>
      </c>
      <c r="C27" s="380" t="s">
        <v>587</v>
      </c>
      <c r="D27" s="192">
        <f>SUM(D28:D31)</f>
        <v>26445</v>
      </c>
      <c r="E27" s="192">
        <f aca="true" t="shared" si="8" ref="E27:P27">SUM(E28:E31)</f>
        <v>0</v>
      </c>
      <c r="F27" s="192">
        <f t="shared" si="8"/>
        <v>173</v>
      </c>
      <c r="G27" s="71">
        <f t="shared" si="2"/>
        <v>26272</v>
      </c>
      <c r="H27" s="70">
        <f t="shared" si="8"/>
        <v>0</v>
      </c>
      <c r="I27" s="70">
        <f t="shared" si="8"/>
        <v>0</v>
      </c>
      <c r="J27" s="71">
        <f t="shared" si="3"/>
        <v>26272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26272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f>'[6]balance'!$E$12</f>
        <v>26445</v>
      </c>
      <c r="E30" s="189"/>
      <c r="F30" s="189">
        <v>173</v>
      </c>
      <c r="G30" s="74">
        <f t="shared" si="2"/>
        <v>26272</v>
      </c>
      <c r="H30" s="72"/>
      <c r="I30" s="72"/>
      <c r="J30" s="74">
        <f t="shared" si="3"/>
        <v>26272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26272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>
        <v>479185</v>
      </c>
      <c r="E37" s="189">
        <v>195402</v>
      </c>
      <c r="F37" s="189">
        <v>0</v>
      </c>
      <c r="G37" s="74">
        <f t="shared" si="2"/>
        <v>674587</v>
      </c>
      <c r="H37" s="72"/>
      <c r="I37" s="72"/>
      <c r="J37" s="74">
        <f t="shared" si="3"/>
        <v>674587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674587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603</v>
      </c>
      <c r="D38" s="194">
        <f>D27+D32+D37</f>
        <v>505630</v>
      </c>
      <c r="E38" s="194">
        <f aca="true" t="shared" si="12" ref="E38:P38">E27+E32+E37</f>
        <v>195402</v>
      </c>
      <c r="F38" s="194">
        <f t="shared" si="12"/>
        <v>173</v>
      </c>
      <c r="G38" s="74">
        <f t="shared" si="2"/>
        <v>700859</v>
      </c>
      <c r="H38" s="75">
        <f t="shared" si="12"/>
        <v>0</v>
      </c>
      <c r="I38" s="75">
        <f t="shared" si="12"/>
        <v>0</v>
      </c>
      <c r="J38" s="74">
        <f t="shared" si="3"/>
        <v>700859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700859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>
        <v>11403</v>
      </c>
      <c r="E39" s="570"/>
      <c r="F39" s="570">
        <v>581</v>
      </c>
      <c r="G39" s="74">
        <f t="shared" si="2"/>
        <v>10822</v>
      </c>
      <c r="H39" s="570"/>
      <c r="I39" s="570"/>
      <c r="J39" s="74">
        <f t="shared" si="3"/>
        <v>10822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10822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811570</v>
      </c>
      <c r="E40" s="438">
        <f>E17+E18+E19+E25+E38+E39</f>
        <v>531916</v>
      </c>
      <c r="F40" s="438">
        <f aca="true" t="shared" si="13" ref="F40:R40">F17+F18+F19+F25+F38+F39</f>
        <v>30950</v>
      </c>
      <c r="G40" s="438">
        <f t="shared" si="13"/>
        <v>1312536</v>
      </c>
      <c r="H40" s="438">
        <f t="shared" si="13"/>
        <v>0</v>
      </c>
      <c r="I40" s="438">
        <f t="shared" si="13"/>
        <v>0</v>
      </c>
      <c r="J40" s="438">
        <f t="shared" si="13"/>
        <v>1312536</v>
      </c>
      <c r="K40" s="438">
        <f t="shared" si="13"/>
        <v>75857</v>
      </c>
      <c r="L40" s="438">
        <f t="shared" si="13"/>
        <v>26850</v>
      </c>
      <c r="M40" s="438">
        <f t="shared" si="13"/>
        <v>4340</v>
      </c>
      <c r="N40" s="438">
        <f t="shared" si="13"/>
        <v>98367</v>
      </c>
      <c r="O40" s="438">
        <f t="shared" si="13"/>
        <v>0</v>
      </c>
      <c r="P40" s="438">
        <f t="shared" si="13"/>
        <v>0</v>
      </c>
      <c r="Q40" s="438">
        <f t="shared" si="13"/>
        <v>98367</v>
      </c>
      <c r="R40" s="438">
        <f t="shared" si="13"/>
        <v>1214169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875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8"/>
      <c r="L44" s="608"/>
      <c r="M44" s="608"/>
      <c r="N44" s="608"/>
      <c r="O44" s="609" t="s">
        <v>783</v>
      </c>
      <c r="P44" s="610"/>
      <c r="Q44" s="610"/>
      <c r="R44" s="610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SheetLayoutView="100" workbookViewId="0" topLeftCell="A1">
      <selection activeCell="C96" sqref="C96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611</v>
      </c>
      <c r="B1" s="616"/>
      <c r="C1" s="616"/>
      <c r="D1" s="616"/>
      <c r="E1" s="616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19" t="str">
        <f>'справка №1-БАЛАНС'!E3</f>
        <v>"Химимпорт" АД</v>
      </c>
      <c r="C3" s="620"/>
      <c r="D3" s="524" t="s">
        <v>2</v>
      </c>
      <c r="E3" s="107">
        <f>'справка №1-БАЛАНС'!H3</f>
        <v>627519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7">
        <f>'справка №1-БАЛАНС'!E5</f>
        <v>39447</v>
      </c>
      <c r="C4" s="618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612</v>
      </c>
      <c r="B5" s="494"/>
      <c r="C5" s="495"/>
      <c r="D5" s="107"/>
      <c r="E5" s="496" t="s">
        <v>613</v>
      </c>
    </row>
    <row r="6" spans="1:14" s="100" customFormat="1" ht="24">
      <c r="A6" s="389" t="s">
        <v>465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24">
      <c r="A10" s="393" t="s">
        <v>620</v>
      </c>
      <c r="B10" s="395"/>
      <c r="C10" s="104"/>
      <c r="D10" s="104"/>
      <c r="E10" s="120"/>
      <c r="F10" s="106"/>
    </row>
    <row r="11" spans="1:15" ht="24">
      <c r="A11" s="396" t="s">
        <v>621</v>
      </c>
      <c r="B11" s="397" t="s">
        <v>622</v>
      </c>
      <c r="C11" s="119">
        <f>SUM(C12:C14)</f>
        <v>1000</v>
      </c>
      <c r="D11" s="119">
        <f>SUM(D12:D14)</f>
        <v>0</v>
      </c>
      <c r="E11" s="120">
        <f>SUM(E12:E14)</f>
        <v>1000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>
        <f>'справка №1-БАЛАНС'!C47</f>
        <v>1000</v>
      </c>
      <c r="D14" s="108"/>
      <c r="E14" s="120">
        <f t="shared" si="0"/>
        <v>1000</v>
      </c>
      <c r="F14" s="106"/>
    </row>
    <row r="15" spans="1:6" ht="24">
      <c r="A15" s="396" t="s">
        <v>629</v>
      </c>
      <c r="B15" s="397" t="s">
        <v>630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1000</v>
      </c>
      <c r="D19" s="104">
        <f>D11+D15+D16</f>
        <v>0</v>
      </c>
      <c r="E19" s="118">
        <f>E11+E15+E16</f>
        <v>1000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>
        <f>'справка №1-БАЛАНС'!C54</f>
        <v>1930</v>
      </c>
      <c r="D21" s="108"/>
      <c r="E21" s="120">
        <f t="shared" si="0"/>
        <v>1930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641</v>
      </c>
      <c r="B23" s="399"/>
      <c r="C23" s="119"/>
      <c r="D23" s="104"/>
      <c r="E23" s="120"/>
      <c r="F23" s="106"/>
    </row>
    <row r="24" spans="1:15" ht="24">
      <c r="A24" s="396" t="s">
        <v>642</v>
      </c>
      <c r="B24" s="397" t="s">
        <v>643</v>
      </c>
      <c r="C24" s="119">
        <f>SUM(C25:C27)</f>
        <v>34714</v>
      </c>
      <c r="D24" s="119">
        <f>SUM(D25:D27)</f>
        <v>33024</v>
      </c>
      <c r="E24" s="120">
        <f>SUM(E25:E27)</f>
        <v>1690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>
        <f>'справка №1-БАЛАНС'!C67-808</f>
        <v>34714</v>
      </c>
      <c r="D25" s="108">
        <v>33024</v>
      </c>
      <c r="E25" s="120">
        <f t="shared" si="0"/>
        <v>1690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f>'справка №1-БАЛАНС'!C68-385-5-52</f>
        <v>126535</v>
      </c>
      <c r="D28" s="108">
        <v>133667</v>
      </c>
      <c r="E28" s="120">
        <f t="shared" si="0"/>
        <v>-7132</v>
      </c>
      <c r="F28" s="106"/>
    </row>
    <row r="29" spans="1:6" ht="12">
      <c r="A29" s="396" t="s">
        <v>652</v>
      </c>
      <c r="B29" s="397" t="s">
        <v>653</v>
      </c>
      <c r="C29" s="108">
        <f>'справка №1-БАЛАНС'!C69</f>
        <v>8321</v>
      </c>
      <c r="D29" s="108">
        <v>14743</v>
      </c>
      <c r="E29" s="120">
        <f t="shared" si="0"/>
        <v>-6422</v>
      </c>
      <c r="F29" s="106"/>
    </row>
    <row r="30" spans="1:6" ht="24">
      <c r="A30" s="396" t="s">
        <v>654</v>
      </c>
      <c r="B30" s="397" t="s">
        <v>655</v>
      </c>
      <c r="C30" s="108">
        <f>'справка №1-БАЛАНС'!C70</f>
        <v>0</v>
      </c>
      <c r="D30" s="108">
        <v>517</v>
      </c>
      <c r="E30" s="120">
        <f t="shared" si="0"/>
        <v>-517</v>
      </c>
      <c r="F30" s="106"/>
    </row>
    <row r="31" spans="1:6" ht="12">
      <c r="A31" s="396" t="s">
        <v>656</v>
      </c>
      <c r="B31" s="397" t="s">
        <v>657</v>
      </c>
      <c r="C31" s="108">
        <f>'справка №1-БАЛАНС'!C71</f>
        <v>1419</v>
      </c>
      <c r="D31" s="108">
        <v>3614</v>
      </c>
      <c r="E31" s="120">
        <f t="shared" si="0"/>
        <v>-2195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5731</v>
      </c>
      <c r="D33" s="105">
        <f>SUM(D34:D37)</f>
        <v>5731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>
        <f>'[4]B11ORec'!$B$31</f>
        <v>420</v>
      </c>
      <c r="D34" s="108">
        <v>420</v>
      </c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f>'[4]B11ORec'!$B$32</f>
        <v>1689</v>
      </c>
      <c r="D35" s="108">
        <v>1689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f>'[4]B11ORec'!$B$9-'[4]B11ORec'!$B$31-'[4]B11ORec'!$B$32</f>
        <v>3622</v>
      </c>
      <c r="D37" s="108">
        <v>3622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85223</v>
      </c>
      <c r="D38" s="105">
        <f>SUM(D39:D42)</f>
        <v>67739</v>
      </c>
      <c r="E38" s="121">
        <f>SUM(E39:E42)</f>
        <v>17484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f>'справка №1-БАЛАНС'!C74-951-1052</f>
        <v>85223</v>
      </c>
      <c r="D42" s="108">
        <v>67739</v>
      </c>
      <c r="E42" s="120">
        <f t="shared" si="0"/>
        <v>17484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261943</v>
      </c>
      <c r="D43" s="104">
        <f>D24+D28+D29+D31+D30+D32+D33+D38</f>
        <v>259035</v>
      </c>
      <c r="E43" s="118">
        <f>E24+E28+E29+E31+E30+E32+E33+E38</f>
        <v>2908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264873</v>
      </c>
      <c r="D44" s="103">
        <f>D43+D21+D19+D9</f>
        <v>259035</v>
      </c>
      <c r="E44" s="118">
        <f>E43+E21+E19+E9</f>
        <v>5838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146709</v>
      </c>
      <c r="D52" s="103">
        <f>SUM(D53:D55)</f>
        <v>0</v>
      </c>
      <c r="E52" s="119">
        <f>C52-D52</f>
        <v>146709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>
        <f>'справка №1-БАЛАНС'!G43</f>
        <v>146709</v>
      </c>
      <c r="D55" s="108"/>
      <c r="E55" s="119">
        <f t="shared" si="1"/>
        <v>146709</v>
      </c>
      <c r="F55" s="108"/>
    </row>
    <row r="56" spans="1:16" ht="36">
      <c r="A56" s="396" t="s">
        <v>696</v>
      </c>
      <c r="B56" s="397" t="s">
        <v>697</v>
      </c>
      <c r="C56" s="103">
        <f>C57+C59</f>
        <v>38898</v>
      </c>
      <c r="D56" s="103">
        <f>D57+D59</f>
        <v>0</v>
      </c>
      <c r="E56" s="119">
        <f t="shared" si="1"/>
        <v>38898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38898</v>
      </c>
      <c r="D57" s="108"/>
      <c r="E57" s="119">
        <f t="shared" si="1"/>
        <v>38898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24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706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>
        <v>988643</v>
      </c>
      <c r="D64" s="108"/>
      <c r="E64" s="119">
        <f t="shared" si="1"/>
        <v>988643</v>
      </c>
      <c r="F64" s="110"/>
    </row>
    <row r="65" spans="1:6" ht="12">
      <c r="A65" s="396" t="s">
        <v>711</v>
      </c>
      <c r="B65" s="397" t="s">
        <v>712</v>
      </c>
      <c r="C65" s="109">
        <v>11080</v>
      </c>
      <c r="D65" s="109"/>
      <c r="E65" s="119">
        <f t="shared" si="1"/>
        <v>11080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1174250</v>
      </c>
      <c r="D66" s="103">
        <f>D52+D56+D61+D62+D63+D64</f>
        <v>0</v>
      </c>
      <c r="E66" s="119">
        <f t="shared" si="1"/>
        <v>1174250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f>'справка №1-БАЛАНС'!G53</f>
        <v>11274</v>
      </c>
      <c r="D68" s="108">
        <v>0</v>
      </c>
      <c r="E68" s="119">
        <f t="shared" si="1"/>
        <v>11274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1292</v>
      </c>
      <c r="D71" s="105">
        <f>SUM(D72:D74)</f>
        <v>1292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/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1292</v>
      </c>
      <c r="D74" s="108">
        <v>1292</v>
      </c>
      <c r="E74" s="119">
        <f t="shared" si="1"/>
        <v>0</v>
      </c>
      <c r="F74" s="110"/>
    </row>
    <row r="75" spans="1:16" ht="36">
      <c r="A75" s="396" t="s">
        <v>696</v>
      </c>
      <c r="B75" s="397" t="s">
        <v>726</v>
      </c>
      <c r="C75" s="103">
        <f>C76+C78</f>
        <v>49425</v>
      </c>
      <c r="D75" s="103">
        <f>D76+D78</f>
        <v>64270</v>
      </c>
      <c r="E75" s="103">
        <f>E76+E78</f>
        <v>-14845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>
        <v>43611</v>
      </c>
      <c r="D76" s="108">
        <v>58456</v>
      </c>
      <c r="E76" s="119">
        <f t="shared" si="1"/>
        <v>-14845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>
        <v>5814</v>
      </c>
      <c r="D78" s="108">
        <v>5814</v>
      </c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209</v>
      </c>
      <c r="E80" s="103">
        <f>SUM(E81:E84)</f>
        <v>-209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>
        <v>0</v>
      </c>
      <c r="D84" s="108">
        <v>209</v>
      </c>
      <c r="E84" s="119">
        <f t="shared" si="1"/>
        <v>-209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166406</v>
      </c>
      <c r="D85" s="104">
        <f>SUM(D86:D90)+D94</f>
        <v>77655</v>
      </c>
      <c r="E85" s="104">
        <f>SUM(E86:E90)+E94</f>
        <v>88751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>
        <v>0</v>
      </c>
      <c r="D86" s="108">
        <v>0</v>
      </c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f>'справка №1-БАЛАНС'!G64-58-62</f>
        <v>135817</v>
      </c>
      <c r="D87" s="108">
        <f>70869-623-39-118</f>
        <v>70089</v>
      </c>
      <c r="E87" s="119">
        <f t="shared" si="1"/>
        <v>65728</v>
      </c>
      <c r="F87" s="108"/>
    </row>
    <row r="88" spans="1:6" ht="12">
      <c r="A88" s="396" t="s">
        <v>750</v>
      </c>
      <c r="B88" s="397" t="s">
        <v>751</v>
      </c>
      <c r="C88" s="108">
        <f>'справка №1-БАЛАНС'!G65</f>
        <v>6269</v>
      </c>
      <c r="D88" s="108">
        <v>0</v>
      </c>
      <c r="E88" s="119">
        <f t="shared" si="1"/>
        <v>6269</v>
      </c>
      <c r="F88" s="108"/>
    </row>
    <row r="89" spans="1:6" ht="12">
      <c r="A89" s="396" t="s">
        <v>752</v>
      </c>
      <c r="B89" s="397" t="s">
        <v>753</v>
      </c>
      <c r="C89" s="108">
        <f>'справка №1-БАЛАНС'!G66</f>
        <v>9455</v>
      </c>
      <c r="D89" s="108">
        <v>4840</v>
      </c>
      <c r="E89" s="119">
        <f t="shared" si="1"/>
        <v>4615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12555</v>
      </c>
      <c r="D90" s="103">
        <f>SUM(D91:D93)</f>
        <v>676</v>
      </c>
      <c r="E90" s="103">
        <f>SUM(E91:E93)</f>
        <v>11879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f>'[4]B20T&amp;OPay'!$B$32</f>
        <v>3074</v>
      </c>
      <c r="D91" s="108">
        <v>509</v>
      </c>
      <c r="E91" s="119">
        <f t="shared" si="1"/>
        <v>2565</v>
      </c>
      <c r="F91" s="108"/>
    </row>
    <row r="92" spans="1:6" ht="12">
      <c r="A92" s="396" t="s">
        <v>664</v>
      </c>
      <c r="B92" s="397" t="s">
        <v>758</v>
      </c>
      <c r="C92" s="108">
        <f>'[4]B20T&amp;OPay'!$B$33</f>
        <v>708</v>
      </c>
      <c r="D92" s="108">
        <v>167</v>
      </c>
      <c r="E92" s="119">
        <f t="shared" si="1"/>
        <v>541</v>
      </c>
      <c r="F92" s="108"/>
    </row>
    <row r="93" spans="1:6" ht="12">
      <c r="A93" s="396" t="s">
        <v>668</v>
      </c>
      <c r="B93" s="397" t="s">
        <v>759</v>
      </c>
      <c r="C93" s="108">
        <f>'[4]B20T&amp;OPay'!$B$10-'[4]B20T&amp;OPay'!$B$32-'[4]B20T&amp;OPay'!$B$33</f>
        <v>8773</v>
      </c>
      <c r="D93" s="108">
        <v>0</v>
      </c>
      <c r="E93" s="119">
        <f t="shared" si="1"/>
        <v>8773</v>
      </c>
      <c r="F93" s="108"/>
    </row>
    <row r="94" spans="1:6" ht="24">
      <c r="A94" s="396" t="s">
        <v>760</v>
      </c>
      <c r="B94" s="397" t="s">
        <v>761</v>
      </c>
      <c r="C94" s="108">
        <f>'справка №1-БАЛАНС'!G67</f>
        <v>2310</v>
      </c>
      <c r="D94" s="108">
        <f>6890-4840</f>
        <v>2050</v>
      </c>
      <c r="E94" s="119">
        <f t="shared" si="1"/>
        <v>260</v>
      </c>
      <c r="F94" s="108"/>
    </row>
    <row r="95" spans="1:6" ht="12">
      <c r="A95" s="396" t="s">
        <v>762</v>
      </c>
      <c r="B95" s="397" t="s">
        <v>763</v>
      </c>
      <c r="C95" s="108">
        <v>464388</v>
      </c>
      <c r="D95" s="108">
        <v>748144</v>
      </c>
      <c r="E95" s="119">
        <f t="shared" si="1"/>
        <v>-283756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681511</v>
      </c>
      <c r="D96" s="104">
        <f>D85+D80+D75+D71+D95</f>
        <v>891570</v>
      </c>
      <c r="E96" s="104">
        <f>E85+E80+E75+E71+E95</f>
        <v>-210059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1867035</v>
      </c>
      <c r="D97" s="104">
        <f>D96+D68+D66</f>
        <v>891570</v>
      </c>
      <c r="E97" s="104">
        <f>E96+E68+E66</f>
        <v>975465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>
        <f>'справка №1-БАЛАНС'!G70</f>
        <v>252</v>
      </c>
      <c r="D104" s="108"/>
      <c r="E104" s="108">
        <v>0</v>
      </c>
      <c r="F104" s="125">
        <f>C104+D104-E104</f>
        <v>252</v>
      </c>
    </row>
    <row r="105" spans="1:16" ht="12">
      <c r="A105" s="412" t="s">
        <v>779</v>
      </c>
      <c r="B105" s="395" t="s">
        <v>780</v>
      </c>
      <c r="C105" s="103">
        <f>SUM(C102:C104)</f>
        <v>252</v>
      </c>
      <c r="D105" s="103">
        <f>SUM(D102:D104)</f>
        <v>0</v>
      </c>
      <c r="E105" s="103">
        <f>SUM(E102:E104)</f>
        <v>0</v>
      </c>
      <c r="F105" s="103">
        <f>SUM(F102:F104)</f>
        <v>252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782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875</v>
      </c>
      <c r="B109" s="614"/>
      <c r="C109" s="614" t="s">
        <v>383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F26" sqref="F26"/>
    </sheetView>
  </sheetViews>
  <sheetFormatPr defaultColWidth="9.00390625" defaultRowHeight="12.75"/>
  <cols>
    <col min="1" max="1" width="52.625" style="107" customWidth="1"/>
    <col min="2" max="2" width="9.125" style="522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21" t="str">
        <f>'справка №1-БАЛАНС'!E3</f>
        <v>"Химимпорт" АД</v>
      </c>
      <c r="C4" s="621"/>
      <c r="D4" s="621"/>
      <c r="E4" s="621"/>
      <c r="F4" s="621"/>
      <c r="G4" s="627" t="s">
        <v>2</v>
      </c>
      <c r="H4" s="627"/>
      <c r="I4" s="498">
        <f>'справка №1-БАЛАНС'!H3</f>
        <v>627519</v>
      </c>
    </row>
    <row r="5" spans="1:9" ht="15">
      <c r="A5" s="499" t="s">
        <v>5</v>
      </c>
      <c r="B5" s="622">
        <f>'справка №1-БАЛАНС'!E5</f>
        <v>39447</v>
      </c>
      <c r="C5" s="622"/>
      <c r="D5" s="622"/>
      <c r="E5" s="622"/>
      <c r="F5" s="622"/>
      <c r="G5" s="625" t="s">
        <v>4</v>
      </c>
      <c r="H5" s="626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786</v>
      </c>
    </row>
    <row r="7" spans="1:9" s="518" customFormat="1" ht="12">
      <c r="A7" s="140" t="s">
        <v>465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803</v>
      </c>
      <c r="C16" s="98"/>
      <c r="D16" s="98"/>
      <c r="E16" s="98"/>
      <c r="F16" s="98">
        <f>'[6]LRFA'!$C$30+'[6]LRFA'!$C$44+'[6]LRFA'!$C$31+'[6]LRFA'!$C$45</f>
        <v>62419</v>
      </c>
      <c r="G16" s="98">
        <f>'[4]OPR '!$BO$91</f>
        <v>0</v>
      </c>
      <c r="H16" s="98">
        <f>-'[4]OPR '!$BO$97</f>
        <v>0</v>
      </c>
      <c r="I16" s="434">
        <f t="shared" si="0"/>
        <v>62419</v>
      </c>
    </row>
    <row r="17" spans="1:9" s="519" customFormat="1" ht="12">
      <c r="A17" s="91" t="s">
        <v>566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62419</v>
      </c>
      <c r="G17" s="85">
        <f t="shared" si="1"/>
        <v>0</v>
      </c>
      <c r="H17" s="85">
        <f t="shared" si="1"/>
        <v>0</v>
      </c>
      <c r="I17" s="434">
        <f t="shared" si="0"/>
        <v>62419</v>
      </c>
    </row>
    <row r="18" spans="1:9" s="519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796</v>
      </c>
      <c r="B19" s="90" t="s">
        <v>806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817</v>
      </c>
      <c r="B25" s="95" t="s">
        <v>818</v>
      </c>
      <c r="C25" s="98"/>
      <c r="D25" s="98"/>
      <c r="E25" s="98"/>
      <c r="F25" s="98">
        <f>'[6]SRFA (2)'!$D$27+'[6]SRFA (2)'!$D$47</f>
        <v>21206</v>
      </c>
      <c r="G25" s="98"/>
      <c r="H25" s="98"/>
      <c r="I25" s="434">
        <f t="shared" si="0"/>
        <v>21206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819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21206</v>
      </c>
      <c r="G26" s="85">
        <f t="shared" si="2"/>
        <v>0</v>
      </c>
      <c r="H26" s="85">
        <f t="shared" si="2"/>
        <v>0</v>
      </c>
      <c r="I26" s="434">
        <f t="shared" si="0"/>
        <v>21206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24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5" t="s">
        <v>875</v>
      </c>
      <c r="B30" s="624"/>
      <c r="C30" s="624"/>
      <c r="D30" s="457" t="s">
        <v>821</v>
      </c>
      <c r="E30" s="623"/>
      <c r="F30" s="623"/>
      <c r="G30" s="623"/>
      <c r="H30" s="420" t="s">
        <v>783</v>
      </c>
      <c r="I30" s="623"/>
      <c r="J30" s="623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SheetLayoutView="100" workbookViewId="0" topLeftCell="A121">
      <selection activeCell="D152" sqref="D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8" t="str">
        <f>'справка №1-БАЛАНС'!E3</f>
        <v>"Химимпорт" АД</v>
      </c>
      <c r="C5" s="628"/>
      <c r="D5" s="628"/>
      <c r="E5" s="568" t="s">
        <v>2</v>
      </c>
      <c r="F5" s="451">
        <f>'справка №1-БАЛАНС'!H3</f>
        <v>627519</v>
      </c>
    </row>
    <row r="6" spans="1:13" ht="15" customHeight="1">
      <c r="A6" s="27" t="s">
        <v>824</v>
      </c>
      <c r="B6" s="629">
        <f>'справка №1-БАЛАНС'!E5</f>
        <v>39447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832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833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834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866</v>
      </c>
      <c r="B46" s="40"/>
      <c r="C46" s="441">
        <f>'[6]NEW'!$I$45</f>
        <v>15366.9616</v>
      </c>
      <c r="D46" s="441">
        <v>49.28</v>
      </c>
      <c r="E46" s="441"/>
      <c r="F46" s="443">
        <f>C46-E46</f>
        <v>15366.9616</v>
      </c>
    </row>
    <row r="47" spans="1:6" ht="12.75">
      <c r="A47" s="36" t="s">
        <v>869</v>
      </c>
      <c r="B47" s="40"/>
      <c r="C47" s="441">
        <f>'[6]NEW'!$I$46</f>
        <v>6436</v>
      </c>
      <c r="D47" s="441">
        <v>28.07</v>
      </c>
      <c r="E47" s="441"/>
      <c r="F47" s="443">
        <f aca="true" t="shared" si="2" ref="F47:F60">C47-E47</f>
        <v>6436</v>
      </c>
    </row>
    <row r="48" spans="1:6" ht="12.75">
      <c r="A48" s="36" t="s">
        <v>870</v>
      </c>
      <c r="B48" s="40"/>
      <c r="C48" s="441">
        <f>'[6]NEW'!$I$47</f>
        <v>1899.484</v>
      </c>
      <c r="D48" s="441">
        <v>46.16</v>
      </c>
      <c r="E48" s="441"/>
      <c r="F48" s="443">
        <f t="shared" si="2"/>
        <v>1899.484</v>
      </c>
    </row>
    <row r="49" spans="1:6" ht="12.75">
      <c r="A49" s="36" t="s">
        <v>871</v>
      </c>
      <c r="B49" s="40"/>
      <c r="C49" s="441">
        <f>'[6]NEW'!$I$48</f>
        <v>452.54999999999995</v>
      </c>
      <c r="D49" s="441">
        <v>35</v>
      </c>
      <c r="E49" s="441"/>
      <c r="F49" s="443">
        <f t="shared" si="2"/>
        <v>452.54999999999995</v>
      </c>
    </row>
    <row r="50" spans="1:6" ht="12.75">
      <c r="A50" s="36" t="s">
        <v>872</v>
      </c>
      <c r="B50" s="37"/>
      <c r="C50" s="441">
        <f>'[6]NEW'!$I$49</f>
        <v>750</v>
      </c>
      <c r="D50" s="441">
        <v>38.07</v>
      </c>
      <c r="E50" s="441"/>
      <c r="F50" s="443">
        <f t="shared" si="2"/>
        <v>750</v>
      </c>
    </row>
    <row r="51" spans="1:6" ht="12.75">
      <c r="A51" s="36" t="s">
        <v>873</v>
      </c>
      <c r="B51" s="37"/>
      <c r="C51" s="441">
        <f>'[6]NEW'!$I$50</f>
        <v>1366.6</v>
      </c>
      <c r="D51" s="441">
        <v>20</v>
      </c>
      <c r="E51" s="441"/>
      <c r="F51" s="443">
        <f t="shared" si="2"/>
        <v>1366.6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838</v>
      </c>
      <c r="C61" s="429">
        <f>SUM(C46:C60)</f>
        <v>26271.5956</v>
      </c>
      <c r="D61" s="429"/>
      <c r="E61" s="429">
        <f>SUM(E46:E60)</f>
        <v>0</v>
      </c>
      <c r="F61" s="442">
        <f>SUM(F46:F60)</f>
        <v>26271.5956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842</v>
      </c>
      <c r="B79" s="39" t="s">
        <v>843</v>
      </c>
      <c r="C79" s="429">
        <f>C78+C61+C44+C27</f>
        <v>26271.5956</v>
      </c>
      <c r="D79" s="429"/>
      <c r="E79" s="429">
        <f>E78+E61+E44+E27</f>
        <v>0</v>
      </c>
      <c r="F79" s="442">
        <f>F78+F61+F44+F27</f>
        <v>26271.5956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831</v>
      </c>
      <c r="B81" s="40"/>
      <c r="C81" s="429"/>
      <c r="D81" s="429"/>
      <c r="E81" s="429"/>
      <c r="F81" s="442"/>
    </row>
    <row r="82" spans="1:6" ht="12.75">
      <c r="A82" s="36" t="s">
        <v>832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833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845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835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846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837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847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839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840</v>
      </c>
      <c r="B148" s="39" t="s">
        <v>848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849</v>
      </c>
      <c r="B149" s="39" t="s">
        <v>850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875</v>
      </c>
      <c r="B151" s="452"/>
      <c r="C151" s="630" t="s">
        <v>851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858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4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Kerezov</cp:lastModifiedBy>
  <cp:lastPrinted>2008-04-30T09:57:05Z</cp:lastPrinted>
  <dcterms:created xsi:type="dcterms:W3CDTF">2000-06-29T12:02:40Z</dcterms:created>
  <dcterms:modified xsi:type="dcterms:W3CDTF">2008-04-30T10:02:45Z</dcterms:modified>
  <cp:category/>
  <cp:version/>
  <cp:contentType/>
  <cp:contentStatus/>
</cp:coreProperties>
</file>