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937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<sst xmlns="http://schemas.openxmlformats.org/spreadsheetml/2006/main" count="1059" uniqueCount="873">
  <si>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</si>
  <si>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</si>
  <si>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</si>
  <si>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</si>
  <si>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</si>
  <si>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</si>
  <si>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</si>
  <si>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</si>
  <si>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</si>
  <si>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</si>
  <si>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</si>
  <si>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</si>
  <si>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</si>
  <si>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</si>
  <si>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</si>
  <si>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</si>
  <si>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</si>
  <si>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</si>
  <si>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</si>
  <si>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</si>
  <si>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</si>
  <si>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</si>
  <si>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</si>
  <si>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</si>
  <si>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</si>
  <si>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</si>
  <si>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</si>
  <si>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</si>
  <si>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</si>
  <si>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</si>
  <si>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</si>
  <si>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</si>
  <si>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</si>
  <si>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</si>
  <si>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</si>
  <si>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</si>
  <si>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</si>
  <si>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</si>
  <si>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</si>
  <si>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</si>
  <si>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</si>
  <si>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</si>
  <si>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</si>
  <si>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</si>
  <si>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</si>
  <si>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</si>
  <si>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</si>
  <si>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</si>
  <si>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</si>
  <si>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</si>
  <si>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</si>
  <si>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</si>
  <si>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</si>
  <si>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</si>
  <si>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</si>
  <si>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</si>
  <si>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</si>
  <si>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</si>
  <si>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</si>
  <si>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</si>
  <si>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</si>
  <si>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</si>
  <si>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</si>
  <si>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</si>
  <si>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</si>
  <si>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</si>
  <si>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</si>
  <si>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</si>
  <si>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</si>
  <si>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</si>
  <si>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</si>
  <si>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</si>
  <si>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</si>
  <si>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</si>
  <si>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</si>
  <si>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</si>
  <si>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</si>
  <si>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</si>
  <si>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</si>
  <si>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</si>
  <si>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</si>
  <si>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</si>
  <si>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</si>
  <si>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</si>
  <si>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</si>
  <si>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</si>
  <si>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</si>
  <si>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</si>
  <si>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</si>
  <si>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</si>
  <si>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</si>
  <si>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</si>
  <si>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</si>
  <si>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</si>
  <si>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</si>
  <si>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</si>
  <si>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</si>
  <si>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</si>
  <si>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</si>
  <si>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</si>
  <si>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</si>
  <si>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</si>
  <si>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</si>
  <si>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</si>
  <si>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</si>
  <si>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</si>
  <si>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</si>
  <si>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</si>
  <si>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</si>
  <si>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</si>
  <si>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</si>
  <si>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</si>
  <si>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</si>
  <si>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</si>
  <si>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</si>
  <si>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</si>
  <si>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</si>
  <si>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</si>
  <si>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</si>
  <si>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</si>
  <si>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</si>
  <si>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</si>
  <si>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</si>
  <si>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</si>
  <si>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</si>
  <si>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</si>
  <si>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</si>
  <si>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</si>
  <si>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</si>
  <si>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</si>
  <si>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</si>
  <si>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</si>
  <si>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</si>
  <si>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</si>
  <si>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</si>
  <si>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</si>
  <si>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</si>
  <si>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</si>
  <si>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</si>
  <si>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</si>
  <si>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</si>
  <si>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</si>
  <si>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</si>
  <si>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</si>
  <si>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</si>
  <si>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</si>
  <si>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</si>
  <si>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</si>
  <si>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</si>
  <si>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</si>
  <si>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</si>
  <si>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</si>
  <si>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</si>
  <si>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</si>
  <si>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</si>
  <si>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</si>
  <si>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</si>
  <si>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</si>
  <si>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</si>
  <si>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</si>
  <si>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</si>
  <si>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</si>
  <si>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</si>
  <si>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</si>
  <si>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</si>
  <si>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</si>
  <si>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</si>
  <si>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</si>
  <si>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</si>
  <si>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</si>
  <si>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</si>
  <si>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</si>
  <si>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</si>
  <si>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</si>
  <si>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</si>
  <si>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</si>
  <si>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</si>
  <si>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</si>
  <si>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</si>
  <si>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</si>
  <si>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</si>
  <si>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</si>
  <si>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</si>
  <si>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</si>
  <si>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</si>
  <si>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</si>
  <si>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</si>
  <si>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</si>
  <si>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</si>
  <si>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</si>
  <si>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</si>
  <si>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</si>
  <si>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</si>
  <si>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</si>
  <si>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</si>
  <si>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</si>
  <si>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</si>
  <si>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</si>
  <si>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</si>
  <si>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</si>
  <si>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</si>
  <si>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</si>
  <si>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</si>
  <si>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</si>
  <si>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</si>
  <si>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</si>
  <si>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</si>
  <si>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</si>
  <si>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</si>
  <si>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</si>
  <si>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</si>
  <si>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</si>
  <si>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</si>
  <si>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</si>
  <si>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</si>
  <si>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</si>
  <si>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</si>
  <si>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</si>
  <si>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</si>
  <si>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</si>
  <si>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</si>
  <si>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</si>
  <si>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</si>
  <si>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</si>
  <si>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</si>
  <si>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</si>
  <si>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</si>
  <si>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</si>
  <si>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</si>
  <si>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</si>
  <si>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</si>
  <si>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</si>
  <si>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</si>
  <si>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</si>
  <si>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</si>
  <si>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</si>
  <si>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</si>
  <si>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</si>
  <si>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</si>
  <si>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</si>
  <si>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</si>
  <si>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</si>
  <si>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</si>
  <si>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</si>
  <si>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</si>
  <si>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</si>
  <si>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</si>
  <si>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</si>
  <si>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</si>
  <si>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</si>
  <si>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</si>
  <si>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</si>
  <si>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</si>
  <si>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</si>
  <si>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</si>
  <si>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</si>
  <si>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</si>
  <si>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</si>
  <si>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</si>
  <si>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</si>
  <si>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</si>
  <si>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</si>
  <si>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</si>
  <si>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</si>
  <si>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</si>
  <si>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</si>
  <si>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</si>
  <si>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</si>
  <si>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</si>
  <si>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</si>
  <si>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</si>
  <si>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</si>
  <si>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</si>
  <si>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</si>
  <si>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</si>
  <si>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</si>
  <si>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</si>
  <si>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</si>
  <si>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</si>
  <si>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</si>
  <si>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</si>
  <si>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</si>
  <si>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</si>
  <si>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</si>
  <si>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</si>
  <si>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</si>
  <si>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</si>
  <si>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</si>
  <si>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</si>
  <si>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</si>
  <si>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</si>
  <si>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</si>
  <si>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</si>
  <si>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</si>
  <si>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</si>
  <si>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</si>
  <si>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</si>
  <si>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</si>
  <si>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</si>
  <si>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</si>
  <si>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</si>
  <si>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</si>
  <si>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</si>
  <si>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</si>
  <si>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</si>
  <si>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</si>
  <si>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</si>
  <si>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</si>
  <si>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</si>
  <si>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</si>
  <si>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</si>
  <si>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</si>
  <si>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</si>
  <si>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</si>
  <si>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</si>
  <si>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</si>
  <si>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</si>
  <si>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</si>
  <si>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</si>
  <si>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</si>
  <si>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</si>
  <si>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</si>
  <si>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</si>
  <si>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</si>
  <si>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</si>
  <si>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</si>
  <si>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</si>
  <si>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</si>
  <si>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</si>
  <si>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</si>
  <si>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</si>
  <si>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</si>
  <si>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</si>
  <si>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</si>
  <si>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</si>
  <si>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</si>
  <si>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</si>
  <si>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</si>
  <si>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</si>
  <si>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</si>
  <si>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</si>
  <si>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</si>
  <si>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</si>
  <si>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</si>
  <si>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</si>
  <si>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</si>
  <si>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</si>
  <si>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</si>
  <si>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</si>
  <si>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</si>
  <si>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</si>
  <si>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</si>
  <si>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</si>
  <si>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</si>
  <si>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</si>
  <si>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</si>
  <si>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</si>
  <si>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</si>
  <si>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</si>
  <si>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</si>
  <si>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</si>
  <si>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</si>
  <si>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</si>
  <si>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</si>
  <si>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</si>
  <si>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</si>
  <si>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</si>
  <si>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</si>
  <si>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</si>
  <si>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</si>
  <si>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</si>
  <si>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</si>
  <si>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</si>
  <si>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</si>
  <si>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</si>
  <si>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</si>
  <si>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</si>
  <si>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</si>
  <si>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</si>
  <si>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</si>
  <si>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</si>
  <si>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</si>
  <si>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</si>
  <si>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</si>
  <si>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</si>
  <si>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</si>
  <si>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</si>
  <si>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</si>
  <si>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</si>
  <si>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</si>
  <si>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</si>
  <si>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</si>
  <si>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</si>
  <si>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</si>
  <si>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</si>
  <si>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</si>
  <si>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</si>
  <si>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</si>
  <si>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</si>
  <si>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</si>
  <si>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</si>
  <si>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</si>
  <si>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</si>
  <si>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</si>
  <si>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</si>
  <si>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</si>
  <si>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</si>
  <si>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</si>
  <si>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</si>
  <si>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</si>
  <si>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</si>
  <si>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</si>
  <si>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</si>
  <si>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</si>
  <si>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</si>
  <si>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</si>
  <si>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</si>
  <si>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</si>
  <si>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</si>
  <si>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</si>
  <si>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</si>
  <si>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</si>
  <si>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</si>
  <si>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</si>
  <si>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</si>
  <si>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</si>
  <si>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</si>
  <si>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</si>
  <si>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</si>
  <si>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</si>
  <si>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</si>
  <si>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</si>
  <si>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</si>
  <si>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</si>
  <si>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</si>
  <si>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</si>
  <si>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</si>
  <si>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</si>
  <si>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</si>
  <si>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</si>
  <si>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</si>
  <si>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</si>
  <si>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</si>
  <si>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</si>
  <si>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</si>
  <si>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</si>
  <si>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</si>
  <si>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</si>
  <si>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</si>
  <si>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</si>
  <si>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</si>
  <si>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</si>
  <si>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</si>
  <si>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</si>
  <si>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</si>
  <si>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</si>
  <si>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</si>
  <si>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</si>
  <si>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</si>
  <si>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</si>
  <si>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</si>
  <si>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</si>
  <si>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</si>
  <si>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</si>
  <si>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</si>
  <si>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</si>
  <si>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</si>
  <si>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</si>
  <si>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</si>
  <si>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</si>
  <si>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</si>
  <si>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</si>
  <si>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</si>
  <si>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</si>
  <si>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</si>
  <si>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</si>
  <si>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</si>
  <si>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</si>
  <si>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</si>
  <si>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</si>
  <si>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</si>
  <si>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</si>
  <si>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</si>
  <si>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</si>
  <si>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</si>
  <si>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</si>
  <si>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</si>
  <si>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</si>
  <si>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</si>
  <si>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</si>
  <si>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</si>
  <si>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</si>
  <si>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</si>
  <si>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</si>
  <si>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</si>
  <si>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</si>
  <si>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</si>
  <si>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</si>
  <si>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</si>
  <si>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</si>
  <si>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</si>
  <si>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</si>
  <si>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</si>
  <si>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</si>
  <si>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</si>
  <si>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</si>
  <si>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</si>
  <si>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</si>
  <si>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</si>
  <si>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</si>
  <si>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</si>
  <si>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</si>
  <si>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</si>
  <si>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</si>
  <si>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</si>
  <si>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</si>
  <si>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</si>
  <si>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</si>
  <si>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</si>
  <si>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</si>
  <si>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</si>
  <si>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</si>
  <si>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</si>
  <si>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</si>
  <si>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</si>
  <si>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</si>
  <si>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</si>
  <si>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</si>
  <si>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</si>
  <si>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</si>
  <si>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</si>
  <si>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</si>
  <si>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</si>
  <si>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</si>
  <si>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</si>
  <si>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</si>
  <si>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</si>
  <si>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</si>
  <si>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</si>
  <si>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</si>
  <si>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</si>
  <si>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</si>
  <si>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</si>
  <si>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</si>
  <si>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</si>
  <si>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</si>
  <si>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</si>
  <si>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</si>
  <si>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</si>
  <si>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</si>
  <si>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</si>
  <si>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</si>
  <si>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</si>
  <si>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</si>
  <si>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</si>
  <si>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</si>
  <si>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</si>
  <si>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</si>
  <si>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</si>
  <si>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</si>
  <si>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</si>
  <si>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</si>
  <si>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</si>
  <si>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</si>
  <si>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</si>
  <si>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</si>
  <si>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</si>
  <si>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</si>
  <si>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</si>
  <si>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</si>
  <si>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</si>
  <si>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</si>
  <si>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</si>
  <si>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</si>
  <si>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</si>
  <si>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</si>
  <si>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</si>
  <si>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</si>
  <si>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</si>
  <si>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</si>
  <si>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</si>
  <si>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</si>
  <si>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</si>
  <si>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</si>
  <si>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</si>
  <si>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</si>
  <si>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</si>
  <si>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</si>
  <si>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</si>
  <si>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</si>
  <si>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</si>
  <si>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</si>
  <si>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</si>
  <si>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</si>
  <si>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</si>
  <si>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</si>
  <si>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</si>
  <si>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</si>
  <si>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</si>
  <si>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</si>
  <si>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</si>
  <si>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</si>
  <si>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</si>
  <si>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</si>
  <si>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</si>
  <si>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</si>
  <si>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</si>
  <si>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</si>
  <si>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</si>
  <si>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</si>
  <si>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</si>
  <si>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</si>
  <si>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</si>
  <si>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</si>
  <si>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</si>
  <si>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</si>
  <si>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</si>
  <si>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</si>
  <si>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</si>
  <si>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</si>
  <si>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</si>
  <si>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</si>
  <si>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</si>
  <si>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</si>
  <si>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</si>
  <si>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</si>
  <si>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</si>
  <si>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</si>
  <si>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</si>
  <si>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</si>
  <si>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</si>
  <si>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</si>
  <si>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</si>
  <si>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</si>
  <si>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</si>
  <si>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</si>
  <si>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</si>
  <si>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</si>
  <si>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</si>
  <si>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</si>
  <si>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</si>
  <si>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</si>
  <si>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</si>
  <si>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</si>
  <si>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</si>
  <si>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</si>
  <si>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</si>
  <si>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</si>
  <si>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</si>
  <si>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</si>
  <si>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</si>
  <si>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</si>
  <si>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</si>
  <si>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</si>
  <si>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</si>
  <si>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</si>
  <si>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</si>
  <si>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</si>
  <si>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</si>
  <si>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</si>
  <si>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</si>
  <si>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</si>
  <si>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</si>
  <si>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</si>
  <si>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</si>
  <si>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</si>
  <si>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</si>
  <si>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</si>
  <si>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</si>
  <si>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</si>
  <si>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</si>
  <si>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</si>
  <si>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</si>
  <si>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</si>
  <si>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</si>
  <si>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</si>
  <si>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</si>
  <si>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</si>
  <si>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</si>
  <si>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</si>
  <si>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</si>
  <si>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</si>
  <si>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</si>
  <si>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</si>
  <si>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</si>
  <si>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</si>
  <si>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</si>
  <si>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</si>
  <si>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</si>
  <si>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</si>
  <si>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</si>
  <si>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</si>
  <si>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</si>
  <si>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</si>
  <si>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</si>
  <si>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</si>
  <si>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</si>
  <si>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</si>
  <si>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</si>
  <si>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</si>
  <si>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</si>
  <si>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</si>
  <si>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</si>
  <si>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</si>
  <si>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</si>
  <si>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</si>
  <si>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</si>
  <si>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</si>
  <si>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</si>
  <si>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</si>
  <si>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</si>
  <si>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</si>
  <si>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</si>
  <si>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</si>
  <si>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</si>
  <si>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</si>
  <si>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</si>
  <si>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</si>
  <si>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</si>
  <si>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</si>
  <si>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</si>
  <si>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</si>
  <si>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</si>
  <si>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</si>
  <si>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</si>
  <si>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</si>
  <si>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</si>
  <si>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</si>
  <si>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</si>
  <si>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</si>
  <si>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</si>
  <si>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</si>
  <si>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</si>
  <si>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</si>
  <si>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</si>
  <si>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</si>
  <si>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</si>
  <si>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</si>
  <si>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</si>
  <si>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</si>
  <si>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</si>
  <si>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</si>
  <si>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</si>
  <si>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</si>
  <si>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</si>
  <si>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</si>
  <si>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</si>
  <si>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</si>
  <si>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</si>
  <si>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</si>
  <si>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</si>
  <si>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</si>
  <si>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</si>
  <si>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</si>
  <si>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</si>
  <si>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</si>
  <si>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</si>
  <si>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</si>
  <si>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</si>
  <si>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</si>
  <si>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</si>
  <si>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</si>
  <si>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</si>
  <si>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</si>
  <si>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</si>
  <si>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</si>
  <si>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</si>
  <si>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</si>
  <si>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</si>
  <si>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</si>
  <si>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</si>
  <si>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</si>
  <si>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</si>
  <si>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</si>
  <si>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</si>
  <si>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</si>
  <si>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</si>
  <si>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</si>
  <si>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</si>
  <si>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</si>
  <si>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</si>
  <si>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</si>
  <si>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</si>
  <si>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</si>
  <si>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</si>
  <si>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</si>
  <si>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</si>
  <si>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</si>
  <si>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</si>
  <si>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</si>
  <si>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</si>
  <si>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</si>
  <si>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</si>
  <si>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</si>
  <si>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</si>
  <si>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</si>
  <si>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</si>
  <si>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</si>
  <si>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</si>
  <si>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</si>
  <si>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</si>
  <si>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</si>
  <si>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</si>
  <si>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</si>
  <si>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</si>
  <si>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</si>
  <si>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</si>
  <si>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</si>
  <si>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</si>
  <si>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</si>
  <si>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</si>
  <si>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</si>
  <si>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</si>
  <si>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</si>
  <si>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</si>
  <si>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</si>
  <si>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</si>
  <si>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</si>
  <si>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</si>
  <si>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</si>
  <si>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</si>
  <si>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</si>
  <si>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</si>
  <si>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</si>
  <si>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</si>
  <si>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</si>
  <si>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</si>
  <si>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</si>
  <si>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</si>
  <si>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</si>
  <si>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</si>
  <si>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</si>
  <si>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</si>
  <si>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</si>
  <si>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</si>
  <si>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</si>
  <si>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</si>
  <si>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</si>
  <si>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</si>
  <si>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</si>
  <si>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</si>
  <si>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</si>
  <si>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</si>
  <si>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</si>
  <si>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</si>
  <si>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</si>
  <si>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</si>
  <si>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</si>
  <si>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</si>
  <si>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</si>
  <si>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</si>
  <si>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</si>
  <si>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</si>
  <si>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</si>
  <si>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</si>
  <si>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</si>
  <si>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</si>
  <si>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</si>
  <si>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</si>
  <si>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</si>
  <si>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</si>
  <si>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</si>
  <si>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</si>
  <si>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</si>
  <si>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</si>
  <si>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</si>
  <si>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</si>
  <si>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</si>
  <si>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</si>
  <si>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"МОНБАТ" АД</t>
  </si>
  <si>
    <t>консолидиран</t>
  </si>
  <si>
    <t>ЕКОБАТ АД СОФИЯ</t>
  </si>
  <si>
    <t>03.2008 г.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</si>
</sst>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7" fillId="0" borderId="1" xfId="27" applyFont="1" applyBorder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9" fillId="0" borderId="0" xfId="27" applyNumberFormat="1" applyFont="1" applyAlignment="1" applyProtection="1">
      <alignment horizontal="left" vertical="top" wrapText="1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94">
      <selection activeCell="A15" sqref="A1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573" t="s">
        <v>869</v>
      </c>
      <c r="F3" s="217" t="s">
        <v>2</v>
      </c>
      <c r="G3" s="172"/>
      <c r="H3" s="574">
        <v>111028849</v>
      </c>
    </row>
    <row r="4" spans="1:8" ht="15">
      <c r="A4" s="581" t="s">
        <v>3</v>
      </c>
      <c r="B4" s="587"/>
      <c r="C4" s="587"/>
      <c r="D4" s="587"/>
      <c r="E4" s="573" t="s">
        <v>870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3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6782</v>
      </c>
      <c r="D11" s="151">
        <v>6848</v>
      </c>
      <c r="E11" s="237" t="s">
        <v>22</v>
      </c>
      <c r="F11" s="242" t="s">
        <v>23</v>
      </c>
      <c r="G11" s="152">
        <v>19500</v>
      </c>
      <c r="H11" s="152">
        <v>19500</v>
      </c>
    </row>
    <row r="12" spans="1:8" ht="15">
      <c r="A12" s="235" t="s">
        <v>24</v>
      </c>
      <c r="B12" s="241" t="s">
        <v>25</v>
      </c>
      <c r="C12" s="151">
        <v>10778</v>
      </c>
      <c r="D12" s="151">
        <v>10760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17485</v>
      </c>
      <c r="D13" s="151">
        <v>16164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12430</v>
      </c>
      <c r="D14" s="151">
        <v>7200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1661</v>
      </c>
      <c r="D15" s="151">
        <v>1639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1717</v>
      </c>
      <c r="D16" s="151">
        <v>1439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10626</v>
      </c>
      <c r="D17" s="151">
        <v>5714</v>
      </c>
      <c r="E17" s="243" t="s">
        <v>46</v>
      </c>
      <c r="F17" s="245" t="s">
        <v>47</v>
      </c>
      <c r="G17" s="154">
        <f>G11+G14+G15+G16</f>
        <v>19500</v>
      </c>
      <c r="H17" s="154">
        <f>H11+H14+H15+H16</f>
        <v>19500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61479</v>
      </c>
      <c r="D19" s="155">
        <f>SUM(D11:D18)</f>
        <v>49764</v>
      </c>
      <c r="E19" s="237" t="s">
        <v>53</v>
      </c>
      <c r="F19" s="242" t="s">
        <v>54</v>
      </c>
      <c r="G19" s="152">
        <v>27965</v>
      </c>
      <c r="H19" s="152">
        <v>27965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13922</v>
      </c>
      <c r="H20" s="158">
        <v>13922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5082</v>
      </c>
      <c r="H21" s="156">
        <f>SUM(H22:H24)</f>
        <v>5082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5082</v>
      </c>
      <c r="H22" s="152">
        <v>5082</v>
      </c>
    </row>
    <row r="23" spans="1:13" ht="15">
      <c r="A23" s="235" t="s">
        <v>66</v>
      </c>
      <c r="B23" s="241" t="s">
        <v>67</v>
      </c>
      <c r="C23" s="151">
        <v>27</v>
      </c>
      <c r="D23" s="151">
        <v>28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23</v>
      </c>
      <c r="D24" s="151">
        <v>25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46969</v>
      </c>
      <c r="H25" s="154">
        <f>H19+H20+H21</f>
        <v>46969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6</v>
      </c>
      <c r="D26" s="151">
        <v>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56</v>
      </c>
      <c r="D27" s="155">
        <f>SUM(D23:D26)</f>
        <v>59</v>
      </c>
      <c r="E27" s="253" t="s">
        <v>83</v>
      </c>
      <c r="F27" s="242" t="s">
        <v>84</v>
      </c>
      <c r="G27" s="154">
        <f>SUM(G28:G30)</f>
        <v>20291</v>
      </c>
      <c r="H27" s="154">
        <f>SUM(H28:H30)</f>
        <v>3406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20291</v>
      </c>
      <c r="H28" s="152">
        <v>3441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>
        <v>-35</v>
      </c>
      <c r="M29" s="157"/>
    </row>
    <row r="30" spans="1:8" ht="15">
      <c r="A30" s="235" t="s">
        <v>90</v>
      </c>
      <c r="B30" s="241" t="s">
        <v>91</v>
      </c>
      <c r="C30" s="151">
        <v>186</v>
      </c>
      <c r="D30" s="151">
        <v>445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9932</v>
      </c>
      <c r="H31" s="152">
        <v>16885</v>
      </c>
      <c r="M31" s="157"/>
    </row>
    <row r="32" spans="1:15" ht="15">
      <c r="A32" s="235" t="s">
        <v>98</v>
      </c>
      <c r="B32" s="250" t="s">
        <v>99</v>
      </c>
      <c r="C32" s="155">
        <f>C30+C31</f>
        <v>186</v>
      </c>
      <c r="D32" s="155">
        <f>D30+D31</f>
        <v>445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30223</v>
      </c>
      <c r="H33" s="154">
        <f>H27+H31+H32</f>
        <v>20291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8</v>
      </c>
      <c r="D34" s="155">
        <f>SUM(D35:D38)</f>
        <v>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96692</v>
      </c>
      <c r="H36" s="154">
        <f>H25+H17+H33</f>
        <v>86760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341</v>
      </c>
      <c r="H39" s="158">
        <v>316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7</v>
      </c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18625</v>
      </c>
      <c r="H44" s="152">
        <v>18897</v>
      </c>
    </row>
    <row r="45" spans="1:15" ht="15">
      <c r="A45" s="235" t="s">
        <v>136</v>
      </c>
      <c r="B45" s="249" t="s">
        <v>137</v>
      </c>
      <c r="C45" s="155">
        <f>C34+C39+C44</f>
        <v>8</v>
      </c>
      <c r="D45" s="155">
        <f>D34+D39+D44</f>
        <v>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706</v>
      </c>
      <c r="H46" s="152">
        <v>770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19338</v>
      </c>
      <c r="H49" s="154">
        <f>SUM(H43:H48)</f>
        <v>19667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1816</v>
      </c>
      <c r="H53" s="152">
        <v>1816</v>
      </c>
    </row>
    <row r="54" spans="1:8" ht="15">
      <c r="A54" s="235" t="s">
        <v>166</v>
      </c>
      <c r="B54" s="249" t="s">
        <v>167</v>
      </c>
      <c r="C54" s="151">
        <v>28</v>
      </c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61757</v>
      </c>
      <c r="D55" s="155">
        <f>D19+D20+D21+D27+D32+D45+D51+D53+D54</f>
        <v>50276</v>
      </c>
      <c r="E55" s="237" t="s">
        <v>172</v>
      </c>
      <c r="F55" s="261" t="s">
        <v>173</v>
      </c>
      <c r="G55" s="154">
        <f>G49+G51+G52+G53+G54</f>
        <v>21154</v>
      </c>
      <c r="H55" s="154">
        <f>H49+H51+H52+H53+H54</f>
        <v>21483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7892</v>
      </c>
      <c r="D58" s="151">
        <v>11946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5964</v>
      </c>
      <c r="D59" s="151">
        <v>6067</v>
      </c>
      <c r="E59" s="251" t="s">
        <v>181</v>
      </c>
      <c r="F59" s="242" t="s">
        <v>182</v>
      </c>
      <c r="G59" s="152"/>
      <c r="H59" s="152">
        <v>5623</v>
      </c>
      <c r="M59" s="157"/>
    </row>
    <row r="60" spans="1:8" ht="15">
      <c r="A60" s="235" t="s">
        <v>183</v>
      </c>
      <c r="B60" s="241" t="s">
        <v>184</v>
      </c>
      <c r="C60" s="151">
        <v>651</v>
      </c>
      <c r="D60" s="151">
        <v>703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25449</v>
      </c>
      <c r="D61" s="151">
        <v>22915</v>
      </c>
      <c r="E61" s="243" t="s">
        <v>189</v>
      </c>
      <c r="F61" s="272" t="s">
        <v>190</v>
      </c>
      <c r="G61" s="154">
        <f>SUM(G62:G68)</f>
        <v>17981</v>
      </c>
      <c r="H61" s="154">
        <f>SUM(H62:H68)</f>
        <v>9526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58</v>
      </c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39956</v>
      </c>
      <c r="D64" s="155">
        <f>SUM(D58:D63)</f>
        <v>41631</v>
      </c>
      <c r="E64" s="237" t="s">
        <v>200</v>
      </c>
      <c r="F64" s="242" t="s">
        <v>201</v>
      </c>
      <c r="G64" s="152">
        <v>15426</v>
      </c>
      <c r="H64" s="152">
        <v>6918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301</v>
      </c>
      <c r="H65" s="152">
        <v>415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603</v>
      </c>
      <c r="H66" s="152">
        <v>638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499</v>
      </c>
      <c r="H67" s="152">
        <v>255</v>
      </c>
    </row>
    <row r="68" spans="1:8" ht="15">
      <c r="A68" s="235" t="s">
        <v>211</v>
      </c>
      <c r="B68" s="241" t="s">
        <v>212</v>
      </c>
      <c r="C68" s="151">
        <v>22329</v>
      </c>
      <c r="D68" s="151">
        <v>21524</v>
      </c>
      <c r="E68" s="237" t="s">
        <v>213</v>
      </c>
      <c r="F68" s="242" t="s">
        <v>214</v>
      </c>
      <c r="G68" s="152">
        <v>1094</v>
      </c>
      <c r="H68" s="152">
        <v>1300</v>
      </c>
    </row>
    <row r="69" spans="1:8" ht="15">
      <c r="A69" s="235" t="s">
        <v>215</v>
      </c>
      <c r="B69" s="241" t="s">
        <v>216</v>
      </c>
      <c r="C69" s="151">
        <v>2649</v>
      </c>
      <c r="D69" s="151">
        <v>1785</v>
      </c>
      <c r="E69" s="251" t="s">
        <v>78</v>
      </c>
      <c r="F69" s="242" t="s">
        <v>217</v>
      </c>
      <c r="G69" s="152">
        <v>111</v>
      </c>
      <c r="H69" s="152">
        <v>76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298</v>
      </c>
      <c r="H70" s="152">
        <v>299</v>
      </c>
    </row>
    <row r="71" spans="1:18" ht="15">
      <c r="A71" s="235" t="s">
        <v>222</v>
      </c>
      <c r="B71" s="241" t="s">
        <v>223</v>
      </c>
      <c r="C71" s="151">
        <v>649</v>
      </c>
      <c r="D71" s="151">
        <v>649</v>
      </c>
      <c r="E71" s="253" t="s">
        <v>46</v>
      </c>
      <c r="F71" s="273" t="s">
        <v>224</v>
      </c>
      <c r="G71" s="161">
        <f>G59+G60+G61+G69+G70</f>
        <v>18390</v>
      </c>
      <c r="H71" s="161">
        <f>H59+H60+H61+H69+H70</f>
        <v>15524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4458</v>
      </c>
      <c r="D72" s="151">
        <v>1340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2087</v>
      </c>
      <c r="D74" s="151">
        <v>983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32172</v>
      </c>
      <c r="D75" s="155">
        <f>SUM(D67:D74)</f>
        <v>26281</v>
      </c>
      <c r="E75" s="251" t="s">
        <v>160</v>
      </c>
      <c r="F75" s="245" t="s">
        <v>234</v>
      </c>
      <c r="G75" s="152">
        <v>69</v>
      </c>
      <c r="H75" s="152">
        <v>96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18459</v>
      </c>
      <c r="H79" s="162">
        <f>H71+H74+H75+H76</f>
        <v>15620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61</v>
      </c>
      <c r="D87" s="151">
        <v>1240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2518</v>
      </c>
      <c r="D88" s="151">
        <v>4601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106</v>
      </c>
      <c r="D89" s="151">
        <v>93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2685</v>
      </c>
      <c r="D91" s="155">
        <f>SUM(D87:D90)</f>
        <v>5934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76</v>
      </c>
      <c r="D92" s="151">
        <v>57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74889</v>
      </c>
      <c r="D93" s="155">
        <f>D64+D75+D84+D91+D92</f>
        <v>73903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136646</v>
      </c>
      <c r="D94" s="164">
        <f>D93+D55</f>
        <v>124179</v>
      </c>
      <c r="E94" s="449" t="s">
        <v>270</v>
      </c>
      <c r="F94" s="289" t="s">
        <v>271</v>
      </c>
      <c r="G94" s="165">
        <f>G36+G39+G55+G79</f>
        <v>136646</v>
      </c>
      <c r="H94" s="165">
        <f>H36+H39+H55+H79</f>
        <v>124179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576">
        <f>+G94-C94</f>
        <v>0</v>
      </c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860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115" zoomScaleNormal="115" workbookViewId="0" topLeftCell="B1">
      <selection activeCell="H13" sqref="H13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590" t="str">
        <f>'справка №1-БАЛАНС'!E3</f>
        <v>"МОНБАТ" АД</v>
      </c>
      <c r="C2" s="590"/>
      <c r="D2" s="590"/>
      <c r="E2" s="590"/>
      <c r="F2" s="578" t="s">
        <v>2</v>
      </c>
      <c r="G2" s="578"/>
      <c r="H2" s="524">
        <f>'справка №1-БАЛАНС'!H3</f>
        <v>111028849</v>
      </c>
    </row>
    <row r="3" spans="1:8" ht="15">
      <c r="A3" s="466" t="s">
        <v>275</v>
      </c>
      <c r="B3" s="590" t="str">
        <f>'справка №1-БАЛАНС'!E4</f>
        <v>консолидиран</v>
      </c>
      <c r="C3" s="590"/>
      <c r="D3" s="590"/>
      <c r="E3" s="590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6" t="s">
        <v>5</v>
      </c>
      <c r="B4" s="577" t="str">
        <f>'справка №1-БАЛАНС'!E5</f>
        <v>03.2008 г.</v>
      </c>
      <c r="C4" s="577"/>
      <c r="D4" s="577"/>
      <c r="E4" s="314"/>
      <c r="F4" s="465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f>37687-5307</f>
        <v>32380</v>
      </c>
      <c r="D9" s="46">
        <f>21573-8</f>
        <v>21565</v>
      </c>
      <c r="E9" s="298" t="s">
        <v>285</v>
      </c>
      <c r="F9" s="547" t="s">
        <v>286</v>
      </c>
      <c r="G9" s="548">
        <v>46856</v>
      </c>
      <c r="H9" s="548">
        <v>26369</v>
      </c>
    </row>
    <row r="10" spans="1:8" ht="12">
      <c r="A10" s="298" t="s">
        <v>287</v>
      </c>
      <c r="B10" s="299" t="s">
        <v>288</v>
      </c>
      <c r="C10" s="46">
        <f>3701-495</f>
        <v>3206</v>
      </c>
      <c r="D10" s="46">
        <f>2489-226</f>
        <v>2263</v>
      </c>
      <c r="E10" s="298" t="s">
        <v>289</v>
      </c>
      <c r="F10" s="547" t="s">
        <v>290</v>
      </c>
      <c r="G10" s="548">
        <v>152</v>
      </c>
      <c r="H10" s="548">
        <v>31</v>
      </c>
    </row>
    <row r="11" spans="1:8" ht="12">
      <c r="A11" s="298" t="s">
        <v>291</v>
      </c>
      <c r="B11" s="299" t="s">
        <v>292</v>
      </c>
      <c r="C11" s="46">
        <v>881</v>
      </c>
      <c r="D11" s="46">
        <v>1127</v>
      </c>
      <c r="E11" s="300" t="s">
        <v>293</v>
      </c>
      <c r="F11" s="547" t="s">
        <v>294</v>
      </c>
      <c r="G11" s="548">
        <v>336</v>
      </c>
      <c r="H11" s="548">
        <v>29</v>
      </c>
    </row>
    <row r="12" spans="1:8" ht="12">
      <c r="A12" s="298" t="s">
        <v>295</v>
      </c>
      <c r="B12" s="299" t="s">
        <v>296</v>
      </c>
      <c r="C12" s="46">
        <v>2628</v>
      </c>
      <c r="D12" s="46">
        <v>1895</v>
      </c>
      <c r="E12" s="300" t="s">
        <v>78</v>
      </c>
      <c r="F12" s="547" t="s">
        <v>297</v>
      </c>
      <c r="G12" s="548">
        <v>3714</v>
      </c>
      <c r="H12" s="548">
        <v>401</v>
      </c>
    </row>
    <row r="13" spans="1:18" ht="12">
      <c r="A13" s="298" t="s">
        <v>298</v>
      </c>
      <c r="B13" s="299" t="s">
        <v>299</v>
      </c>
      <c r="C13" s="46">
        <v>557</v>
      </c>
      <c r="D13" s="46">
        <v>463</v>
      </c>
      <c r="E13" s="301" t="s">
        <v>51</v>
      </c>
      <c r="F13" s="549" t="s">
        <v>300</v>
      </c>
      <c r="G13" s="546">
        <f>SUM(G9:G12)</f>
        <v>51058</v>
      </c>
      <c r="H13" s="546">
        <f>SUM(H9:H12)</f>
        <v>26830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3228</v>
      </c>
      <c r="D14" s="46">
        <v>182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v>-2431</v>
      </c>
      <c r="D15" s="47">
        <v>-4331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254</v>
      </c>
      <c r="D16" s="47">
        <f>325-37</f>
        <v>288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>
        <v>39</v>
      </c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>
        <v>254</v>
      </c>
      <c r="D18" s="48">
        <v>10</v>
      </c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40703</v>
      </c>
      <c r="D19" s="49">
        <f>SUM(D9:D15)+D16</f>
        <v>23452</v>
      </c>
      <c r="E19" s="304" t="s">
        <v>317</v>
      </c>
      <c r="F19" s="550" t="s">
        <v>318</v>
      </c>
      <c r="G19" s="548">
        <v>5</v>
      </c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147</v>
      </c>
      <c r="D22" s="46">
        <v>26</v>
      </c>
      <c r="E22" s="304" t="s">
        <v>326</v>
      </c>
      <c r="F22" s="550" t="s">
        <v>327</v>
      </c>
      <c r="G22" s="548">
        <v>67</v>
      </c>
      <c r="H22" s="548">
        <v>44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 ht="12">
      <c r="A24" s="298" t="s">
        <v>332</v>
      </c>
      <c r="B24" s="305" t="s">
        <v>333</v>
      </c>
      <c r="C24" s="46">
        <v>74</v>
      </c>
      <c r="D24" s="46">
        <v>44</v>
      </c>
      <c r="E24" s="301" t="s">
        <v>103</v>
      </c>
      <c r="F24" s="552" t="s">
        <v>334</v>
      </c>
      <c r="G24" s="546">
        <f>SUM(G19:G23)</f>
        <v>72</v>
      </c>
      <c r="H24" s="546">
        <f>SUM(H19:H23)</f>
        <v>44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249</v>
      </c>
      <c r="D25" s="46">
        <v>50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470</v>
      </c>
      <c r="D26" s="49">
        <f>SUM(D22:D25)</f>
        <v>120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41173</v>
      </c>
      <c r="D28" s="50">
        <f>D26+D19</f>
        <v>23572</v>
      </c>
      <c r="E28" s="127" t="s">
        <v>339</v>
      </c>
      <c r="F28" s="552" t="s">
        <v>340</v>
      </c>
      <c r="G28" s="546">
        <f>G13+G15+G24</f>
        <v>51130</v>
      </c>
      <c r="H28" s="546">
        <f>H13+H15+H24</f>
        <v>26874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9957</v>
      </c>
      <c r="D30" s="50">
        <f>IF((H28-D28)&gt;0,H28-D28,0)</f>
        <v>3302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856</v>
      </c>
      <c r="B31" s="306" t="s">
        <v>345</v>
      </c>
      <c r="C31" s="46"/>
      <c r="D31" s="46"/>
      <c r="E31" s="296" t="s">
        <v>859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>
        <v>1</v>
      </c>
      <c r="E32" s="296" t="s">
        <v>349</v>
      </c>
      <c r="F32" s="550" t="s">
        <v>350</v>
      </c>
      <c r="G32" s="548"/>
      <c r="H32" s="548">
        <v>6</v>
      </c>
    </row>
    <row r="33" spans="1:18" ht="12">
      <c r="A33" s="128" t="s">
        <v>351</v>
      </c>
      <c r="B33" s="306" t="s">
        <v>352</v>
      </c>
      <c r="C33" s="49">
        <f>C28-C31+C32</f>
        <v>41173</v>
      </c>
      <c r="D33" s="49">
        <f>D28-D31+D32</f>
        <v>23573</v>
      </c>
      <c r="E33" s="127" t="s">
        <v>353</v>
      </c>
      <c r="F33" s="552" t="s">
        <v>354</v>
      </c>
      <c r="G33" s="53">
        <f>G32-G31+G28</f>
        <v>51130</v>
      </c>
      <c r="H33" s="53">
        <f>H32-H31+H28</f>
        <v>26880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9957</v>
      </c>
      <c r="D34" s="50">
        <f>IF((H33-D33)&gt;0,H33-D33,0)</f>
        <v>3307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60">
        <f>+IF((G33-C33-C35)&gt;0,G33-C33-C35,0)</f>
        <v>9957</v>
      </c>
      <c r="D39" s="460">
        <f>+IF((H33-D33-D35)&gt;0,H33-D33-D35,0)</f>
        <v>3307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>
        <v>25</v>
      </c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9932</v>
      </c>
      <c r="D41" s="52">
        <f>IF(H39=0,IF(D39-D40&gt;0,D39-D40+H40,0),IF(H39-H40&lt;0,H40-H39+D39,0))</f>
        <v>3307</v>
      </c>
      <c r="E41" s="127" t="s">
        <v>376</v>
      </c>
      <c r="F41" s="569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51130</v>
      </c>
      <c r="D42" s="53">
        <f>D33+D35+D39</f>
        <v>26880</v>
      </c>
      <c r="E42" s="128" t="s">
        <v>380</v>
      </c>
      <c r="F42" s="129" t="s">
        <v>381</v>
      </c>
      <c r="G42" s="53">
        <f>G39+G33</f>
        <v>51130</v>
      </c>
      <c r="H42" s="53">
        <f>H39+H33</f>
        <v>26880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79" t="s">
        <v>867</v>
      </c>
      <c r="B45" s="579"/>
      <c r="C45" s="579"/>
      <c r="D45" s="579"/>
      <c r="E45" s="579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2" t="s">
        <v>272</v>
      </c>
      <c r="B48" s="427"/>
      <c r="C48" s="427" t="s">
        <v>383</v>
      </c>
      <c r="D48" s="588"/>
      <c r="E48" s="588"/>
      <c r="F48" s="588"/>
      <c r="G48" s="588"/>
      <c r="H48" s="588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785</v>
      </c>
      <c r="D50" s="589"/>
      <c r="E50" s="589"/>
      <c r="F50" s="589"/>
      <c r="G50" s="589"/>
      <c r="H50" s="589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37" bottom="0.23" header="0.16" footer="0.15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115" zoomScaleNormal="115" workbookViewId="0" topLeftCell="A1">
      <selection activeCell="D46" sqref="D4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385</v>
      </c>
      <c r="B4" s="469" t="str">
        <f>'справка №1-БАЛАНС'!E3</f>
        <v>"МОНБАТ" АД</v>
      </c>
      <c r="C4" s="539" t="s">
        <v>2</v>
      </c>
      <c r="D4" s="539">
        <f>'справка №1-БАЛАНС'!H3</f>
        <v>111028849</v>
      </c>
      <c r="E4" s="323"/>
      <c r="F4" s="323"/>
    </row>
    <row r="5" spans="1:4" ht="15">
      <c r="A5" s="469" t="s">
        <v>275</v>
      </c>
      <c r="B5" s="469" t="str">
        <f>'справка №1-БАЛАНС'!E4</f>
        <v>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70" t="s">
        <v>5</v>
      </c>
      <c r="B6" s="504" t="str">
        <f>'справка №1-БАЛАНС'!E5</f>
        <v>03.2008 г.</v>
      </c>
      <c r="C6" s="471"/>
      <c r="D6" s="472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50557</v>
      </c>
      <c r="D10" s="54">
        <v>25570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-38067</v>
      </c>
      <c r="D11" s="54">
        <v>-29669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-2792</v>
      </c>
      <c r="D13" s="54">
        <v>-2057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670</v>
      </c>
      <c r="D14" s="54">
        <v>3956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-92</v>
      </c>
      <c r="D15" s="54">
        <v>-196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-74</v>
      </c>
      <c r="D18" s="54">
        <v>-15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-158</v>
      </c>
      <c r="D19" s="54">
        <v>-256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10044</v>
      </c>
      <c r="D20" s="55">
        <f>SUM(D10:D19)</f>
        <v>-2667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-4436</v>
      </c>
      <c r="D22" s="54">
        <v>-2309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>
        <v>-4111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-4436</v>
      </c>
      <c r="D32" s="55">
        <f>SUM(D22:D31)</f>
        <v>-6420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2812</v>
      </c>
      <c r="D36" s="54">
        <v>10046</v>
      </c>
      <c r="E36" s="130"/>
      <c r="F36" s="130"/>
    </row>
    <row r="37" spans="1:6" ht="12">
      <c r="A37" s="332" t="s">
        <v>439</v>
      </c>
      <c r="B37" s="333" t="s">
        <v>440</v>
      </c>
      <c r="C37" s="54">
        <v>-11198</v>
      </c>
      <c r="D37" s="54">
        <v>-768</v>
      </c>
      <c r="E37" s="130"/>
      <c r="F37" s="130"/>
    </row>
    <row r="38" spans="1:6" ht="12">
      <c r="A38" s="332" t="s">
        <v>441</v>
      </c>
      <c r="B38" s="333" t="s">
        <v>442</v>
      </c>
      <c r="C38" s="54">
        <v>-4</v>
      </c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-323</v>
      </c>
      <c r="D39" s="54">
        <v>-26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-144</v>
      </c>
      <c r="D41" s="54">
        <v>-51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-8857</v>
      </c>
      <c r="D42" s="55">
        <f>SUM(D34:D41)</f>
        <v>9201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-3249</v>
      </c>
      <c r="D43" s="55">
        <f>D42+D32+D20</f>
        <v>114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5934</v>
      </c>
      <c r="D44" s="132">
        <v>7182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2685</v>
      </c>
      <c r="D45" s="55">
        <f>D44+D43</f>
        <v>7296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f>+C45-C47</f>
        <v>2579</v>
      </c>
      <c r="D46" s="56">
        <f>+D45-D47</f>
        <v>7213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106</v>
      </c>
      <c r="D47" s="56">
        <v>83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0"/>
      <c r="D50" s="58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0"/>
      <c r="D52" s="58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6" right="0.18" top="0.44" bottom="0.4" header="0.35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M28" sqref="M28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1" t="s">
        <v>461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593" t="str">
        <f>'справка №1-БАЛАНС'!E3</f>
        <v>"МОНБАТ" АД</v>
      </c>
      <c r="C3" s="593"/>
      <c r="D3" s="593"/>
      <c r="E3" s="593"/>
      <c r="F3" s="593"/>
      <c r="G3" s="593"/>
      <c r="H3" s="593"/>
      <c r="I3" s="593"/>
      <c r="J3" s="475"/>
      <c r="K3" s="595" t="s">
        <v>2</v>
      </c>
      <c r="L3" s="595"/>
      <c r="M3" s="477">
        <f>'справка №1-БАЛАНС'!H3</f>
        <v>111028849</v>
      </c>
      <c r="N3" s="2"/>
    </row>
    <row r="4" spans="1:15" s="530" customFormat="1" ht="13.5" customHeight="1">
      <c r="A4" s="466" t="s">
        <v>462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7" t="str">
        <f>'справка №1-БАЛАНС'!H4</f>
        <v> </v>
      </c>
      <c r="N4" s="3"/>
      <c r="O4" s="3"/>
    </row>
    <row r="5" spans="1:14" s="530" customFormat="1" ht="12.75" customHeight="1">
      <c r="A5" s="466" t="s">
        <v>5</v>
      </c>
      <c r="B5" s="597" t="str">
        <f>'справка №1-БАЛАНС'!E5</f>
        <v>03.2008 г.</v>
      </c>
      <c r="C5" s="597"/>
      <c r="D5" s="597"/>
      <c r="E5" s="597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1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19500</v>
      </c>
      <c r="D11" s="58">
        <f>'справка №1-БАЛАНС'!H19</f>
        <v>27965</v>
      </c>
      <c r="E11" s="58">
        <f>'справка №1-БАЛАНС'!H20</f>
        <v>13922</v>
      </c>
      <c r="F11" s="58">
        <f>'справка №1-БАЛАНС'!H22</f>
        <v>5082</v>
      </c>
      <c r="G11" s="58">
        <f>'справка №1-БАЛАНС'!H23</f>
        <v>0</v>
      </c>
      <c r="H11" s="60"/>
      <c r="I11" s="58">
        <f>'справка №1-БАЛАНС'!H28+'справка №1-БАЛАНС'!H31</f>
        <v>20326</v>
      </c>
      <c r="J11" s="58">
        <f>'справка №1-БАЛАНС'!H29+'справка №1-БАЛАНС'!H32</f>
        <v>-35</v>
      </c>
      <c r="K11" s="60"/>
      <c r="L11" s="344">
        <f>SUM(C11:K11)</f>
        <v>86760</v>
      </c>
      <c r="M11" s="58">
        <f>'справка №1-БАЛАНС'!H39</f>
        <v>316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19500</v>
      </c>
      <c r="D15" s="61">
        <f aca="true" t="shared" si="2" ref="D15:M15">D11+D12</f>
        <v>27965</v>
      </c>
      <c r="E15" s="61">
        <f t="shared" si="2"/>
        <v>13922</v>
      </c>
      <c r="F15" s="61">
        <f t="shared" si="2"/>
        <v>5082</v>
      </c>
      <c r="G15" s="61">
        <f t="shared" si="2"/>
        <v>0</v>
      </c>
      <c r="H15" s="61">
        <f t="shared" si="2"/>
        <v>0</v>
      </c>
      <c r="I15" s="61">
        <f t="shared" si="2"/>
        <v>20326</v>
      </c>
      <c r="J15" s="61">
        <f t="shared" si="2"/>
        <v>-35</v>
      </c>
      <c r="K15" s="61">
        <f t="shared" si="2"/>
        <v>0</v>
      </c>
      <c r="L15" s="344">
        <f t="shared" si="1"/>
        <v>86760</v>
      </c>
      <c r="M15" s="61">
        <f t="shared" si="2"/>
        <v>316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9932</v>
      </c>
      <c r="J16" s="345">
        <f>+'справка №1-БАЛАНС'!G32</f>
        <v>0</v>
      </c>
      <c r="K16" s="60"/>
      <c r="L16" s="344">
        <f t="shared" si="1"/>
        <v>9932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>
        <v>25</v>
      </c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19500</v>
      </c>
      <c r="D29" s="59">
        <f aca="true" t="shared" si="6" ref="D29:M29">D17+D20+D21+D24+D28+D27+D15+D16</f>
        <v>27965</v>
      </c>
      <c r="E29" s="59">
        <f t="shared" si="6"/>
        <v>13922</v>
      </c>
      <c r="F29" s="59">
        <f t="shared" si="6"/>
        <v>5082</v>
      </c>
      <c r="G29" s="59">
        <f t="shared" si="6"/>
        <v>0</v>
      </c>
      <c r="H29" s="59">
        <f t="shared" si="6"/>
        <v>0</v>
      </c>
      <c r="I29" s="59">
        <f t="shared" si="6"/>
        <v>30258</v>
      </c>
      <c r="J29" s="59">
        <f t="shared" si="6"/>
        <v>-35</v>
      </c>
      <c r="K29" s="59">
        <f t="shared" si="6"/>
        <v>0</v>
      </c>
      <c r="L29" s="344">
        <f t="shared" si="1"/>
        <v>96692</v>
      </c>
      <c r="M29" s="59">
        <f t="shared" si="6"/>
        <v>341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19500</v>
      </c>
      <c r="D32" s="59">
        <f t="shared" si="7"/>
        <v>27965</v>
      </c>
      <c r="E32" s="59">
        <f t="shared" si="7"/>
        <v>13922</v>
      </c>
      <c r="F32" s="59">
        <f t="shared" si="7"/>
        <v>5082</v>
      </c>
      <c r="G32" s="59">
        <f t="shared" si="7"/>
        <v>0</v>
      </c>
      <c r="H32" s="59">
        <f t="shared" si="7"/>
        <v>0</v>
      </c>
      <c r="I32" s="59">
        <f t="shared" si="7"/>
        <v>30258</v>
      </c>
      <c r="J32" s="59">
        <f t="shared" si="7"/>
        <v>-35</v>
      </c>
      <c r="K32" s="59">
        <f t="shared" si="7"/>
        <v>0</v>
      </c>
      <c r="L32" s="344">
        <f t="shared" si="1"/>
        <v>96692</v>
      </c>
      <c r="M32" s="59">
        <f>M29+M30+M31</f>
        <v>341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868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862</v>
      </c>
      <c r="B38" s="19"/>
      <c r="C38" s="15"/>
      <c r="D38" s="592" t="s">
        <v>523</v>
      </c>
      <c r="E38" s="592"/>
      <c r="F38" s="592"/>
      <c r="G38" s="592"/>
      <c r="H38" s="592"/>
      <c r="I38" s="592"/>
      <c r="J38" s="15" t="s">
        <v>863</v>
      </c>
      <c r="K38" s="15"/>
      <c r="L38" s="592"/>
      <c r="M38" s="592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130" zoomScaleNormal="130" workbookViewId="0" topLeftCell="A1">
      <selection activeCell="R39" sqref="R3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385</v>
      </c>
      <c r="B2" s="599"/>
      <c r="C2" s="600" t="str">
        <f>'справка №1-БАЛАНС'!E3</f>
        <v>"МОНБАТ" АД</v>
      </c>
      <c r="D2" s="600"/>
      <c r="E2" s="600"/>
      <c r="F2" s="600"/>
      <c r="G2" s="600"/>
      <c r="H2" s="600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111028849</v>
      </c>
      <c r="P2" s="482"/>
      <c r="Q2" s="482"/>
      <c r="R2" s="524"/>
    </row>
    <row r="3" spans="1:18" ht="15">
      <c r="A3" s="598" t="s">
        <v>5</v>
      </c>
      <c r="B3" s="599"/>
      <c r="C3" s="601" t="str">
        <f>'справка №1-БАЛАНС'!E5</f>
        <v>03.2008 г.</v>
      </c>
      <c r="D3" s="601"/>
      <c r="E3" s="601"/>
      <c r="F3" s="484"/>
      <c r="G3" s="484"/>
      <c r="H3" s="484"/>
      <c r="I3" s="484"/>
      <c r="J3" s="484"/>
      <c r="K3" s="484"/>
      <c r="L3" s="484"/>
      <c r="M3" s="602" t="s">
        <v>4</v>
      </c>
      <c r="N3" s="602"/>
      <c r="O3" s="481" t="str">
        <f>'справка №1-БАЛАНС'!H4</f>
        <v> </v>
      </c>
      <c r="P3" s="485"/>
      <c r="Q3" s="485"/>
      <c r="R3" s="525"/>
    </row>
    <row r="4" spans="1:18" ht="12">
      <c r="A4" s="486" t="s">
        <v>525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526</v>
      </c>
    </row>
    <row r="5" spans="1:18" s="100" customFormat="1" ht="30.75" customHeight="1">
      <c r="A5" s="603" t="s">
        <v>465</v>
      </c>
      <c r="B5" s="604"/>
      <c r="C5" s="607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1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12" t="s">
        <v>531</v>
      </c>
      <c r="R5" s="612" t="s">
        <v>532</v>
      </c>
    </row>
    <row r="6" spans="1:18" s="100" customFormat="1" ht="48">
      <c r="A6" s="605"/>
      <c r="B6" s="606"/>
      <c r="C6" s="608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1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13"/>
      <c r="R6" s="61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6848</v>
      </c>
      <c r="E9" s="189"/>
      <c r="F9" s="189">
        <v>66</v>
      </c>
      <c r="G9" s="74">
        <f>D9+E9-F9</f>
        <v>6782</v>
      </c>
      <c r="H9" s="65"/>
      <c r="I9" s="65"/>
      <c r="J9" s="74">
        <f>G9+H9-I9</f>
        <v>6782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6782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12647</v>
      </c>
      <c r="E10" s="189">
        <v>83</v>
      </c>
      <c r="F10" s="189"/>
      <c r="G10" s="74">
        <f aca="true" t="shared" si="2" ref="G10:G39">D10+E10-F10</f>
        <v>12730</v>
      </c>
      <c r="H10" s="65"/>
      <c r="I10" s="65"/>
      <c r="J10" s="74">
        <f aca="true" t="shared" si="3" ref="J10:J39">G10+H10-I10</f>
        <v>12730</v>
      </c>
      <c r="K10" s="65">
        <v>1887</v>
      </c>
      <c r="L10" s="65">
        <v>65</v>
      </c>
      <c r="M10" s="65"/>
      <c r="N10" s="74">
        <f aca="true" t="shared" si="4" ref="N10:N39">K10+L10-M10</f>
        <v>1952</v>
      </c>
      <c r="O10" s="65"/>
      <c r="P10" s="65"/>
      <c r="Q10" s="74">
        <f t="shared" si="0"/>
        <v>1952</v>
      </c>
      <c r="R10" s="74">
        <f t="shared" si="1"/>
        <v>10778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40664</v>
      </c>
      <c r="E11" s="189">
        <v>2001</v>
      </c>
      <c r="F11" s="189">
        <v>60</v>
      </c>
      <c r="G11" s="74">
        <f t="shared" si="2"/>
        <v>42605</v>
      </c>
      <c r="H11" s="65"/>
      <c r="I11" s="65"/>
      <c r="J11" s="74">
        <f t="shared" si="3"/>
        <v>42605</v>
      </c>
      <c r="K11" s="65">
        <v>24500</v>
      </c>
      <c r="L11" s="65">
        <v>629</v>
      </c>
      <c r="M11" s="65">
        <v>9</v>
      </c>
      <c r="N11" s="74">
        <f t="shared" si="4"/>
        <v>25120</v>
      </c>
      <c r="O11" s="65"/>
      <c r="P11" s="65"/>
      <c r="Q11" s="74">
        <f t="shared" si="0"/>
        <v>25120</v>
      </c>
      <c r="R11" s="74">
        <f t="shared" si="1"/>
        <v>17485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7594</v>
      </c>
      <c r="E12" s="189">
        <f>5250</f>
        <v>5250</v>
      </c>
      <c r="F12" s="189">
        <f>1</f>
        <v>1</v>
      </c>
      <c r="G12" s="74">
        <f t="shared" si="2"/>
        <v>12843</v>
      </c>
      <c r="H12" s="65"/>
      <c r="I12" s="65"/>
      <c r="J12" s="74">
        <f t="shared" si="3"/>
        <v>12843</v>
      </c>
      <c r="K12" s="65">
        <v>394</v>
      </c>
      <c r="L12" s="65">
        <f>19</f>
        <v>19</v>
      </c>
      <c r="M12" s="65"/>
      <c r="N12" s="74">
        <f t="shared" si="4"/>
        <v>413</v>
      </c>
      <c r="O12" s="65"/>
      <c r="P12" s="65"/>
      <c r="Q12" s="74">
        <f t="shared" si="0"/>
        <v>413</v>
      </c>
      <c r="R12" s="74">
        <f t="shared" si="1"/>
        <v>12430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2987</v>
      </c>
      <c r="E13" s="189">
        <v>126</v>
      </c>
      <c r="F13" s="189">
        <v>11</v>
      </c>
      <c r="G13" s="74">
        <f t="shared" si="2"/>
        <v>3102</v>
      </c>
      <c r="H13" s="65"/>
      <c r="I13" s="65"/>
      <c r="J13" s="74">
        <f t="shared" si="3"/>
        <v>3102</v>
      </c>
      <c r="K13" s="65">
        <v>1348</v>
      </c>
      <c r="L13" s="65">
        <v>94</v>
      </c>
      <c r="M13" s="65">
        <v>1</v>
      </c>
      <c r="N13" s="74">
        <f t="shared" si="4"/>
        <v>1441</v>
      </c>
      <c r="O13" s="65"/>
      <c r="P13" s="65"/>
      <c r="Q13" s="74">
        <f t="shared" si="0"/>
        <v>1441</v>
      </c>
      <c r="R13" s="74">
        <f t="shared" si="1"/>
        <v>1661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2325</v>
      </c>
      <c r="E14" s="189">
        <v>351</v>
      </c>
      <c r="F14" s="189">
        <v>2</v>
      </c>
      <c r="G14" s="74">
        <f t="shared" si="2"/>
        <v>2674</v>
      </c>
      <c r="H14" s="65"/>
      <c r="I14" s="65"/>
      <c r="J14" s="74">
        <f t="shared" si="3"/>
        <v>2674</v>
      </c>
      <c r="K14" s="65">
        <v>886</v>
      </c>
      <c r="L14" s="65">
        <v>71</v>
      </c>
      <c r="M14" s="65"/>
      <c r="N14" s="74">
        <f t="shared" si="4"/>
        <v>957</v>
      </c>
      <c r="O14" s="65"/>
      <c r="P14" s="65"/>
      <c r="Q14" s="74">
        <f t="shared" si="0"/>
        <v>957</v>
      </c>
      <c r="R14" s="74">
        <f t="shared" si="1"/>
        <v>1717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864</v>
      </c>
      <c r="B15" s="374" t="s">
        <v>865</v>
      </c>
      <c r="C15" s="456" t="s">
        <v>866</v>
      </c>
      <c r="D15" s="457">
        <v>5714</v>
      </c>
      <c r="E15" s="457">
        <f>5802+8</f>
        <v>5810</v>
      </c>
      <c r="F15" s="457">
        <f>862+29+7</f>
        <v>898</v>
      </c>
      <c r="G15" s="74">
        <f t="shared" si="2"/>
        <v>10626</v>
      </c>
      <c r="H15" s="458"/>
      <c r="I15" s="458"/>
      <c r="J15" s="74">
        <f t="shared" si="3"/>
        <v>10626</v>
      </c>
      <c r="K15" s="458">
        <v>0</v>
      </c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10626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563</v>
      </c>
      <c r="B16" s="193" t="s">
        <v>564</v>
      </c>
      <c r="C16" s="367" t="s">
        <v>565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78779</v>
      </c>
      <c r="E17" s="194">
        <f>SUM(E9:E16)</f>
        <v>13621</v>
      </c>
      <c r="F17" s="194">
        <f>SUM(F9:F16)</f>
        <v>1038</v>
      </c>
      <c r="G17" s="74">
        <f t="shared" si="2"/>
        <v>91362</v>
      </c>
      <c r="H17" s="75">
        <f>SUM(H9:H16)</f>
        <v>0</v>
      </c>
      <c r="I17" s="75">
        <f>SUM(I9:I16)</f>
        <v>0</v>
      </c>
      <c r="J17" s="74">
        <f t="shared" si="3"/>
        <v>91362</v>
      </c>
      <c r="K17" s="75">
        <f>SUM(K9:K16)</f>
        <v>29015</v>
      </c>
      <c r="L17" s="75">
        <f>SUM(L9:L16)</f>
        <v>878</v>
      </c>
      <c r="M17" s="75">
        <f>SUM(M9:M16)</f>
        <v>10</v>
      </c>
      <c r="N17" s="74">
        <f t="shared" si="4"/>
        <v>29883</v>
      </c>
      <c r="O17" s="75">
        <f>SUM(O9:O16)</f>
        <v>0</v>
      </c>
      <c r="P17" s="75">
        <f>SUM(P9:P16)</f>
        <v>0</v>
      </c>
      <c r="Q17" s="74">
        <f t="shared" si="5"/>
        <v>29883</v>
      </c>
      <c r="R17" s="74">
        <f t="shared" si="6"/>
        <v>61479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958</v>
      </c>
      <c r="E21" s="189"/>
      <c r="F21" s="189"/>
      <c r="G21" s="74">
        <f t="shared" si="2"/>
        <v>958</v>
      </c>
      <c r="H21" s="65"/>
      <c r="I21" s="65"/>
      <c r="J21" s="74">
        <f t="shared" si="3"/>
        <v>958</v>
      </c>
      <c r="K21" s="65">
        <v>930</v>
      </c>
      <c r="L21" s="65">
        <v>1</v>
      </c>
      <c r="M21" s="65"/>
      <c r="N21" s="74">
        <f t="shared" si="4"/>
        <v>931</v>
      </c>
      <c r="O21" s="65"/>
      <c r="P21" s="65"/>
      <c r="Q21" s="74">
        <f t="shared" si="5"/>
        <v>931</v>
      </c>
      <c r="R21" s="74">
        <f t="shared" si="6"/>
        <v>27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156</v>
      </c>
      <c r="E22" s="189"/>
      <c r="F22" s="189"/>
      <c r="G22" s="74">
        <f t="shared" si="2"/>
        <v>156</v>
      </c>
      <c r="H22" s="65"/>
      <c r="I22" s="65"/>
      <c r="J22" s="74">
        <f t="shared" si="3"/>
        <v>156</v>
      </c>
      <c r="K22" s="65">
        <v>131</v>
      </c>
      <c r="L22" s="65">
        <v>2</v>
      </c>
      <c r="M22" s="65"/>
      <c r="N22" s="74">
        <f t="shared" si="4"/>
        <v>133</v>
      </c>
      <c r="O22" s="65"/>
      <c r="P22" s="65"/>
      <c r="Q22" s="74">
        <f t="shared" si="5"/>
        <v>133</v>
      </c>
      <c r="R22" s="74">
        <f t="shared" si="6"/>
        <v>23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v>0</v>
      </c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15</v>
      </c>
      <c r="E24" s="189"/>
      <c r="F24" s="189"/>
      <c r="G24" s="74">
        <f t="shared" si="2"/>
        <v>15</v>
      </c>
      <c r="H24" s="65"/>
      <c r="I24" s="65"/>
      <c r="J24" s="74">
        <f t="shared" si="3"/>
        <v>15</v>
      </c>
      <c r="K24" s="65">
        <v>9</v>
      </c>
      <c r="L24" s="65"/>
      <c r="M24" s="65"/>
      <c r="N24" s="74">
        <f t="shared" si="4"/>
        <v>9</v>
      </c>
      <c r="O24" s="65"/>
      <c r="P24" s="65"/>
      <c r="Q24" s="74">
        <f t="shared" si="5"/>
        <v>9</v>
      </c>
      <c r="R24" s="74">
        <f t="shared" si="6"/>
        <v>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584</v>
      </c>
      <c r="D25" s="190">
        <f>SUM(D21:D24)</f>
        <v>1129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1129</v>
      </c>
      <c r="H25" s="66">
        <f t="shared" si="7"/>
        <v>0</v>
      </c>
      <c r="I25" s="66">
        <f t="shared" si="7"/>
        <v>0</v>
      </c>
      <c r="J25" s="67">
        <f t="shared" si="3"/>
        <v>1129</v>
      </c>
      <c r="K25" s="66">
        <f t="shared" si="7"/>
        <v>1070</v>
      </c>
      <c r="L25" s="66">
        <f t="shared" si="7"/>
        <v>3</v>
      </c>
      <c r="M25" s="66">
        <f t="shared" si="7"/>
        <v>0</v>
      </c>
      <c r="N25" s="67">
        <f t="shared" si="4"/>
        <v>1073</v>
      </c>
      <c r="O25" s="66">
        <f t="shared" si="7"/>
        <v>0</v>
      </c>
      <c r="P25" s="66">
        <f t="shared" si="7"/>
        <v>0</v>
      </c>
      <c r="Q25" s="67">
        <f t="shared" si="5"/>
        <v>1073</v>
      </c>
      <c r="R25" s="67">
        <f t="shared" si="6"/>
        <v>56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857</v>
      </c>
      <c r="C27" s="380" t="s">
        <v>587</v>
      </c>
      <c r="D27" s="192">
        <f>SUM(D28:D31)</f>
        <v>8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8</v>
      </c>
      <c r="H27" s="70">
        <f t="shared" si="8"/>
        <v>0</v>
      </c>
      <c r="I27" s="70">
        <f t="shared" si="8"/>
        <v>0</v>
      </c>
      <c r="J27" s="71">
        <f t="shared" si="3"/>
        <v>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>
        <v>8</v>
      </c>
      <c r="E31" s="189"/>
      <c r="F31" s="189"/>
      <c r="G31" s="74">
        <f t="shared" si="2"/>
        <v>8</v>
      </c>
      <c r="H31" s="72"/>
      <c r="I31" s="72"/>
      <c r="J31" s="74">
        <f t="shared" si="3"/>
        <v>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603</v>
      </c>
      <c r="D38" s="194">
        <f>D27+D32+D37</f>
        <v>8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8</v>
      </c>
      <c r="H38" s="75">
        <f t="shared" si="12"/>
        <v>0</v>
      </c>
      <c r="I38" s="75">
        <f t="shared" si="12"/>
        <v>0</v>
      </c>
      <c r="J38" s="74">
        <f t="shared" si="3"/>
        <v>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604</v>
      </c>
      <c r="B39" s="370" t="s">
        <v>605</v>
      </c>
      <c r="C39" s="369" t="s">
        <v>606</v>
      </c>
      <c r="D39" s="570">
        <v>445</v>
      </c>
      <c r="E39" s="570"/>
      <c r="F39" s="570">
        <v>259</v>
      </c>
      <c r="G39" s="74">
        <f t="shared" si="2"/>
        <v>186</v>
      </c>
      <c r="H39" s="570"/>
      <c r="I39" s="570"/>
      <c r="J39" s="74">
        <f t="shared" si="3"/>
        <v>186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186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80361</v>
      </c>
      <c r="E40" s="438">
        <f>E17+E18+E19+E25+E38+E39</f>
        <v>13621</v>
      </c>
      <c r="F40" s="438">
        <f aca="true" t="shared" si="13" ref="F40:R40">F17+F18+F19+F25+F38+F39</f>
        <v>1297</v>
      </c>
      <c r="G40" s="438">
        <f t="shared" si="13"/>
        <v>92685</v>
      </c>
      <c r="H40" s="438">
        <f t="shared" si="13"/>
        <v>0</v>
      </c>
      <c r="I40" s="438">
        <f t="shared" si="13"/>
        <v>0</v>
      </c>
      <c r="J40" s="438">
        <f t="shared" si="13"/>
        <v>92685</v>
      </c>
      <c r="K40" s="438">
        <f t="shared" si="13"/>
        <v>30085</v>
      </c>
      <c r="L40" s="438">
        <f t="shared" si="13"/>
        <v>881</v>
      </c>
      <c r="M40" s="438">
        <f t="shared" si="13"/>
        <v>10</v>
      </c>
      <c r="N40" s="438">
        <f t="shared" si="13"/>
        <v>30956</v>
      </c>
      <c r="O40" s="438">
        <f t="shared" si="13"/>
        <v>0</v>
      </c>
      <c r="P40" s="438">
        <f t="shared" si="13"/>
        <v>0</v>
      </c>
      <c r="Q40" s="438">
        <f t="shared" si="13"/>
        <v>30956</v>
      </c>
      <c r="R40" s="438">
        <f t="shared" si="13"/>
        <v>61729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9"/>
      <c r="L44" s="609"/>
      <c r="M44" s="609"/>
      <c r="N44" s="609"/>
      <c r="O44" s="610" t="s">
        <v>785</v>
      </c>
      <c r="P44" s="611"/>
      <c r="Q44" s="611"/>
      <c r="R44" s="611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115" zoomScaleNormal="115" workbookViewId="0" topLeftCell="A1">
      <selection activeCell="E105" sqref="E10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612</v>
      </c>
      <c r="B1" s="617"/>
      <c r="C1" s="617"/>
      <c r="D1" s="617"/>
      <c r="E1" s="617"/>
      <c r="F1" s="137"/>
    </row>
    <row r="2" spans="1:6" ht="12">
      <c r="A2" s="489"/>
      <c r="B2" s="490"/>
      <c r="C2" s="491"/>
      <c r="D2" s="107"/>
      <c r="E2" s="523"/>
      <c r="F2" s="99"/>
    </row>
    <row r="3" spans="1:15" ht="13.5" customHeight="1">
      <c r="A3" s="492" t="s">
        <v>385</v>
      </c>
      <c r="B3" s="620" t="str">
        <f>'справка №1-БАЛАНС'!E3</f>
        <v>"МОНБАТ" АД</v>
      </c>
      <c r="C3" s="621"/>
      <c r="D3" s="524" t="s">
        <v>2</v>
      </c>
      <c r="E3" s="107">
        <f>'справка №1-БАЛАНС'!H3</f>
        <v>111028849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8" t="str">
        <f>'справка №1-БАЛАНС'!E5</f>
        <v>03.2008 г.</v>
      </c>
      <c r="C4" s="619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613</v>
      </c>
      <c r="B5" s="495"/>
      <c r="C5" s="496"/>
      <c r="D5" s="107"/>
      <c r="E5" s="497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/>
      <c r="D25" s="108"/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22329</v>
      </c>
      <c r="D28" s="108">
        <v>22329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2649</v>
      </c>
      <c r="D29" s="108">
        <v>2649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>
        <v>649</v>
      </c>
      <c r="D31" s="108">
        <v>649</v>
      </c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4458</v>
      </c>
      <c r="D33" s="105">
        <f>SUM(D34:D37)</f>
        <v>4458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4239</v>
      </c>
      <c r="D35" s="108">
        <v>4239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>
        <v>219</v>
      </c>
      <c r="D37" s="108">
        <v>219</v>
      </c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2087</v>
      </c>
      <c r="D38" s="105">
        <f>SUM(D39:D42)</f>
        <v>2087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>
        <v>3</v>
      </c>
      <c r="D40" s="108">
        <v>3</v>
      </c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2084</v>
      </c>
      <c r="D42" s="108">
        <v>2084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32172</v>
      </c>
      <c r="D43" s="104">
        <f>D24+D28+D29+D31+D30+D32+D33+D38</f>
        <v>32172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32172</v>
      </c>
      <c r="D44" s="103">
        <f>D43+D21+D19+D9</f>
        <v>32172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7</v>
      </c>
      <c r="D52" s="103">
        <f>SUM(D53:D55)</f>
        <v>0</v>
      </c>
      <c r="E52" s="119">
        <f>C52-D52</f>
        <v>7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>
        <v>7</v>
      </c>
      <c r="D53" s="108"/>
      <c r="E53" s="119">
        <f>C53-D53</f>
        <v>7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18625</v>
      </c>
      <c r="D56" s="103">
        <f>D57+D59</f>
        <v>5</v>
      </c>
      <c r="E56" s="119">
        <f t="shared" si="1"/>
        <v>18620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18625</v>
      </c>
      <c r="D57" s="108">
        <v>5</v>
      </c>
      <c r="E57" s="119">
        <f t="shared" si="1"/>
        <v>18620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>
        <v>706</v>
      </c>
      <c r="D62" s="108"/>
      <c r="E62" s="119">
        <f t="shared" si="1"/>
        <v>706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19338</v>
      </c>
      <c r="D66" s="103">
        <f>D52+D56+D61+D62+D63+D64</f>
        <v>5</v>
      </c>
      <c r="E66" s="119">
        <f t="shared" si="1"/>
        <v>19333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>
        <v>1816</v>
      </c>
      <c r="D68" s="108"/>
      <c r="E68" s="119">
        <f t="shared" si="1"/>
        <v>1816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17981</v>
      </c>
      <c r="D85" s="104">
        <f>SUM(D86:D90)+D94</f>
        <v>17981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>
        <v>58</v>
      </c>
      <c r="D86" s="108">
        <v>58</v>
      </c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15426</v>
      </c>
      <c r="D87" s="108">
        <v>15426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>
        <v>301</v>
      </c>
      <c r="D88" s="108">
        <v>301</v>
      </c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603</v>
      </c>
      <c r="D89" s="108">
        <v>603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1094</v>
      </c>
      <c r="D90" s="103">
        <f>SUM(D91:D93)</f>
        <v>1094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780</v>
      </c>
      <c r="D91" s="108">
        <v>780</v>
      </c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>
        <v>4</v>
      </c>
      <c r="D92" s="108">
        <v>4</v>
      </c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310</v>
      </c>
      <c r="D93" s="108">
        <v>310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499</v>
      </c>
      <c r="D94" s="108">
        <v>499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111</v>
      </c>
      <c r="D95" s="108">
        <v>111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18092</v>
      </c>
      <c r="D96" s="104">
        <f>D85+D80+D75+D71+D95</f>
        <v>18092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39246</v>
      </c>
      <c r="D97" s="104">
        <f>D96+D68+D66</f>
        <v>18097</v>
      </c>
      <c r="E97" s="104">
        <f>E96+E68+E66</f>
        <v>21149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>
        <v>299</v>
      </c>
      <c r="D104" s="108"/>
      <c r="E104" s="108">
        <v>1</v>
      </c>
      <c r="F104" s="125">
        <f>C104+D104-E104</f>
        <v>298</v>
      </c>
    </row>
    <row r="105" spans="1:16" ht="12">
      <c r="A105" s="412" t="s">
        <v>780</v>
      </c>
      <c r="B105" s="395" t="s">
        <v>781</v>
      </c>
      <c r="C105" s="103">
        <f>SUM(C102:C104)</f>
        <v>299</v>
      </c>
      <c r="D105" s="103">
        <f>SUM(D102:D104)</f>
        <v>0</v>
      </c>
      <c r="E105" s="103">
        <f>SUM(E102:E104)</f>
        <v>1</v>
      </c>
      <c r="F105" s="103">
        <f>SUM(F102:F104)</f>
        <v>298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783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784</v>
      </c>
      <c r="B109" s="615"/>
      <c r="C109" s="615" t="s">
        <v>383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785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9" sqref="F19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385</v>
      </c>
      <c r="B4" s="622" t="str">
        <f>'справка №1-БАЛАНС'!E3</f>
        <v>"МОНБАТ" АД</v>
      </c>
      <c r="C4" s="622"/>
      <c r="D4" s="622"/>
      <c r="E4" s="622"/>
      <c r="F4" s="622"/>
      <c r="G4" s="628" t="s">
        <v>2</v>
      </c>
      <c r="H4" s="628"/>
      <c r="I4" s="499">
        <f>'справка №1-БАЛАНС'!H3</f>
        <v>111028849</v>
      </c>
    </row>
    <row r="5" spans="1:9" ht="15">
      <c r="A5" s="500" t="s">
        <v>5</v>
      </c>
      <c r="B5" s="623" t="str">
        <f>'справка №1-БАЛАНС'!E5</f>
        <v>03.2008 г.</v>
      </c>
      <c r="C5" s="623"/>
      <c r="D5" s="623"/>
      <c r="E5" s="623"/>
      <c r="F5" s="623"/>
      <c r="G5" s="626" t="s">
        <v>4</v>
      </c>
      <c r="H5" s="627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788</v>
      </c>
    </row>
    <row r="7" spans="1:9" s="518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784</v>
      </c>
      <c r="B30" s="625"/>
      <c r="C30" s="625"/>
      <c r="D30" s="459" t="s">
        <v>823</v>
      </c>
      <c r="E30" s="624"/>
      <c r="F30" s="624"/>
      <c r="G30" s="624"/>
      <c r="H30" s="420" t="s">
        <v>785</v>
      </c>
      <c r="I30" s="624"/>
      <c r="J30" s="624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37" bottom="0.4724409448818898" header="0.19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C167" sqref="C167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9" t="str">
        <f>'справка №1-БАЛАНС'!E3</f>
        <v>"МОНБАТ" АД</v>
      </c>
      <c r="C5" s="629"/>
      <c r="D5" s="629"/>
      <c r="E5" s="568" t="s">
        <v>2</v>
      </c>
      <c r="F5" s="451">
        <f>'справка №1-БАЛАНС'!H3</f>
        <v>111028849</v>
      </c>
    </row>
    <row r="6" spans="1:13" ht="15" customHeight="1">
      <c r="A6" s="27" t="s">
        <v>826</v>
      </c>
      <c r="B6" s="630" t="str">
        <f>'справка №1-БАЛАНС'!E5</f>
        <v>03.2008 г.</v>
      </c>
      <c r="C6" s="630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575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871</v>
      </c>
      <c r="B63" s="40"/>
      <c r="C63" s="441">
        <v>8</v>
      </c>
      <c r="D63" s="441">
        <v>17</v>
      </c>
      <c r="E63" s="441"/>
      <c r="F63" s="443">
        <f>C63-E63</f>
        <v>8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8</v>
      </c>
      <c r="D78" s="429"/>
      <c r="E78" s="429">
        <f>SUM(E63:E77)</f>
        <v>0</v>
      </c>
      <c r="F78" s="442">
        <f>SUM(F63:F77)</f>
        <v>8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843</v>
      </c>
      <c r="B79" s="39" t="s">
        <v>844</v>
      </c>
      <c r="C79" s="429">
        <f>C78+C61+C44+C27</f>
        <v>8</v>
      </c>
      <c r="D79" s="429"/>
      <c r="E79" s="429">
        <f>E78+E61+E44+E27</f>
        <v>0</v>
      </c>
      <c r="F79" s="442">
        <f>F78+F61+F44+F27</f>
        <v>8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/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1" t="s">
        <v>853</v>
      </c>
      <c r="D151" s="631"/>
      <c r="E151" s="631"/>
      <c r="F151" s="631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1" t="s">
        <v>861</v>
      </c>
      <c r="D153" s="631"/>
      <c r="E153" s="631"/>
      <c r="F153" s="631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daniela</cp:lastModifiedBy>
  <cp:lastPrinted>2008-05-29T12:00:47Z</cp:lastPrinted>
  <dcterms:created xsi:type="dcterms:W3CDTF">2000-06-29T12:02:40Z</dcterms:created>
  <dcterms:modified xsi:type="dcterms:W3CDTF">2008-05-30T08:14:48Z</dcterms:modified>
  <cp:category/>
  <cp:version/>
  <cp:contentType/>
  <cp:contentStatus/>
</cp:coreProperties>
</file>