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<sst xmlns="http://schemas.openxmlformats.org/spreadsheetml/2006/main" count="1062" uniqueCount="872">
  <si>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</si>
  <si>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</si>
  <si>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</si>
  <si>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</si>
  <si>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</si>
  <si>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</si>
  <si>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</si>
  <si>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</si>
  <si>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</si>
  <si>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</si>
  <si>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</si>
  <si>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</si>
  <si>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</si>
  <si>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</si>
  <si>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</si>
  <si>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</si>
  <si>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</si>
  <si>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</si>
  <si>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</si>
  <si>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</si>
  <si>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</si>
  <si>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</si>
  <si>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</si>
  <si>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</si>
  <si>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</si>
  <si>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</si>
  <si>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</si>
  <si>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</si>
  <si>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</si>
  <si>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</si>
  <si>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</si>
  <si>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</si>
  <si>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</si>
  <si>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</si>
  <si>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</si>
  <si>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</si>
  <si>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</si>
  <si>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</si>
  <si>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</si>
  <si>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</si>
  <si>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</si>
  <si>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</si>
  <si>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</si>
  <si>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</si>
  <si>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</si>
  <si>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</si>
  <si>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</si>
  <si>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</si>
  <si>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</si>
  <si>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</si>
  <si>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</si>
  <si>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</si>
  <si>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</si>
  <si>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</si>
  <si>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</si>
  <si>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</si>
  <si>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</si>
  <si>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</si>
  <si>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</si>
  <si>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</si>
  <si>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</si>
  <si>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</si>
  <si>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</si>
  <si>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</si>
  <si>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</si>
  <si>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</si>
  <si>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</si>
  <si>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</si>
  <si>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</si>
  <si>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</si>
  <si>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</si>
  <si>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</si>
  <si>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</si>
  <si>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</si>
  <si>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</si>
  <si>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</si>
  <si>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</si>
  <si>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</si>
  <si>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</si>
  <si>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</si>
  <si>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</si>
  <si>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</si>
  <si>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</si>
  <si>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</si>
  <si>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</si>
  <si>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</si>
  <si>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</si>
  <si>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</si>
  <si>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</si>
  <si>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</si>
  <si>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</si>
  <si>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</si>
  <si>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</si>
  <si>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</si>
  <si>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</si>
  <si>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</si>
  <si>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</si>
  <si>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</si>
  <si>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</si>
  <si>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</si>
  <si>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</si>
  <si>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</si>
  <si>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</si>
  <si>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</si>
  <si>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</si>
  <si>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</si>
  <si>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</si>
  <si>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</si>
  <si>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</si>
  <si>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</si>
  <si>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</si>
  <si>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</si>
  <si>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</si>
  <si>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</si>
  <si>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</si>
  <si>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</si>
  <si>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</si>
  <si>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</si>
  <si>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</si>
  <si>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</si>
  <si>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</si>
  <si>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</si>
  <si>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</si>
  <si>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</si>
  <si>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</si>
  <si>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</si>
  <si>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</si>
  <si>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</si>
  <si>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</si>
  <si>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</si>
  <si>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</si>
  <si>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</si>
  <si>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</si>
  <si>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</si>
  <si>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</si>
  <si>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</si>
  <si>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</si>
  <si>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</si>
  <si>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</si>
  <si>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</si>
  <si>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</si>
  <si>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</si>
  <si>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</si>
  <si>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</si>
  <si>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</si>
  <si>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</si>
  <si>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</si>
  <si>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</si>
  <si>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</si>
  <si>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</si>
  <si>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</si>
  <si>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</si>
  <si>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</si>
  <si>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</si>
  <si>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</si>
  <si>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</si>
  <si>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</si>
  <si>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</si>
  <si>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</si>
  <si>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</si>
  <si>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</si>
  <si>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</si>
  <si>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</si>
  <si>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</si>
  <si>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</si>
  <si>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</si>
  <si>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</si>
  <si>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</si>
  <si>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</si>
  <si>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</si>
  <si>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</si>
  <si>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</si>
  <si>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</si>
  <si>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</si>
  <si>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</si>
  <si>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</si>
  <si>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</si>
  <si>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</si>
  <si>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</si>
  <si>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</si>
  <si>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</si>
  <si>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</si>
  <si>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</si>
  <si>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</si>
  <si>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</si>
  <si>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</si>
  <si>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</si>
  <si>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</si>
  <si>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</si>
  <si>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</si>
  <si>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</si>
  <si>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</si>
  <si>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</si>
  <si>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</si>
  <si>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</si>
  <si>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</si>
  <si>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</si>
  <si>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</si>
  <si>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</si>
  <si>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</si>
  <si>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</si>
  <si>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</si>
  <si>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</si>
  <si>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</si>
  <si>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</si>
  <si>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</si>
  <si>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</si>
  <si>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</si>
  <si>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</si>
  <si>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</si>
  <si>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</si>
  <si>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</si>
  <si>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</si>
  <si>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</si>
  <si>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</si>
  <si>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</si>
  <si>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</si>
  <si>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</si>
  <si>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</si>
  <si>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</si>
  <si>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</si>
  <si>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</si>
  <si>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</si>
  <si>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</si>
  <si>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</si>
  <si>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</si>
  <si>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</si>
  <si>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</si>
  <si>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</si>
  <si>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</si>
  <si>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</si>
  <si>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</si>
  <si>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</si>
  <si>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</si>
  <si>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</si>
  <si>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</si>
  <si>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</si>
  <si>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</si>
  <si>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</si>
  <si>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</si>
  <si>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</si>
  <si>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</si>
  <si>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</si>
  <si>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</si>
  <si>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</si>
  <si>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</si>
  <si>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</si>
  <si>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</si>
  <si>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</si>
  <si>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</si>
  <si>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</si>
  <si>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</si>
  <si>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</si>
  <si>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</si>
  <si>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</si>
  <si>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</si>
  <si>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</si>
  <si>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</si>
  <si>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</si>
  <si>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</si>
  <si>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</si>
  <si>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</si>
  <si>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</si>
  <si>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</si>
  <si>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</si>
  <si>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</si>
  <si>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</si>
  <si>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</si>
  <si>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</si>
  <si>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</si>
  <si>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</si>
  <si>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</si>
  <si>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</si>
  <si>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</si>
  <si>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</si>
  <si>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</si>
  <si>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</si>
  <si>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</si>
  <si>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</si>
  <si>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</si>
  <si>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</si>
  <si>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</si>
  <si>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</si>
  <si>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</si>
  <si>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</si>
  <si>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</si>
  <si>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</si>
  <si>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</si>
  <si>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</si>
  <si>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</si>
  <si>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</si>
  <si>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</si>
  <si>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</si>
  <si>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</si>
  <si>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</si>
  <si>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</si>
  <si>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</si>
  <si>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</si>
  <si>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</si>
  <si>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</si>
  <si>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</si>
  <si>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</si>
  <si>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</si>
  <si>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</si>
  <si>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</si>
  <si>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</si>
  <si>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</si>
  <si>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</si>
  <si>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</si>
  <si>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</si>
  <si>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</si>
  <si>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</si>
  <si>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</si>
  <si>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</si>
  <si>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</si>
  <si>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</si>
  <si>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</si>
  <si>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</si>
  <si>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</si>
  <si>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</si>
  <si>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</si>
  <si>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</si>
  <si>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</si>
  <si>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</si>
  <si>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</si>
  <si>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</si>
  <si>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</si>
  <si>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</si>
  <si>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</si>
  <si>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</si>
  <si>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</si>
  <si>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</si>
  <si>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</si>
  <si>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</si>
  <si>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</si>
  <si>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</si>
  <si>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</si>
  <si>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</si>
  <si>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</si>
  <si>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</si>
  <si>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</si>
  <si>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</si>
  <si>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</si>
  <si>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</si>
  <si>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</si>
  <si>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</si>
  <si>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</si>
  <si>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</si>
  <si>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</si>
  <si>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</si>
  <si>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</si>
  <si>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</si>
  <si>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</si>
  <si>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</si>
  <si>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</si>
  <si>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</si>
  <si>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</si>
  <si>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</si>
  <si>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</si>
  <si>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</si>
  <si>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</si>
  <si>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</si>
  <si>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</si>
  <si>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</si>
  <si>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</si>
  <si>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</si>
  <si>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</si>
  <si>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</si>
  <si>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</si>
  <si>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</si>
  <si>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</si>
  <si>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</si>
  <si>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</si>
  <si>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</si>
  <si>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</si>
  <si>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</si>
  <si>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</si>
  <si>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</si>
  <si>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</si>
  <si>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</si>
  <si>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</si>
  <si>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</si>
  <si>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</si>
  <si>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</si>
  <si>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</si>
  <si>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</si>
  <si>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</si>
  <si>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</si>
  <si>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</si>
  <si>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</si>
  <si>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</si>
  <si>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</si>
  <si>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</si>
  <si>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</si>
  <si>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</si>
  <si>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</si>
  <si>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</si>
  <si>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</si>
  <si>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</si>
  <si>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</si>
  <si>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</si>
  <si>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</si>
  <si>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</si>
  <si>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</si>
  <si>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</si>
  <si>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</si>
  <si>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</si>
  <si>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</si>
  <si>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</si>
  <si>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</si>
  <si>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</si>
  <si>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</si>
  <si>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</si>
  <si>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</si>
  <si>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</si>
  <si>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</si>
  <si>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</si>
  <si>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</si>
  <si>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</si>
  <si>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</si>
  <si>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</si>
  <si>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</si>
  <si>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</si>
  <si>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</si>
  <si>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</si>
  <si>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</si>
  <si>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</si>
  <si>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</si>
  <si>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</si>
  <si>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</si>
  <si>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</si>
  <si>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</si>
  <si>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</si>
  <si>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</si>
  <si>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</si>
  <si>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</si>
  <si>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</si>
  <si>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</si>
  <si>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</si>
  <si>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</si>
  <si>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</si>
  <si>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</si>
  <si>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</si>
  <si>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</si>
  <si>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</si>
  <si>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</si>
  <si>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</si>
  <si>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</si>
  <si>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</si>
  <si>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</si>
  <si>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</si>
  <si>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</si>
  <si>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</si>
  <si>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</si>
  <si>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</si>
  <si>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</si>
  <si>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</si>
  <si>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</si>
  <si>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</si>
  <si>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</si>
  <si>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</si>
  <si>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</si>
  <si>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</si>
  <si>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</si>
  <si>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</si>
  <si>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</si>
  <si>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</si>
  <si>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</si>
  <si>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</si>
  <si>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</si>
  <si>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</si>
  <si>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</si>
  <si>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</si>
  <si>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</si>
  <si>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</si>
  <si>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</si>
  <si>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</si>
  <si>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</si>
  <si>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</si>
  <si>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</si>
  <si>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</si>
  <si>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</si>
  <si>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</si>
  <si>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</si>
  <si>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</si>
  <si>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</si>
  <si>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</si>
  <si>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</si>
  <si>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</si>
  <si>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</si>
  <si>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</si>
  <si>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</si>
  <si>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</si>
  <si>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</si>
  <si>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</si>
  <si>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</si>
  <si>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</si>
  <si>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</si>
  <si>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</si>
  <si>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</si>
  <si>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</si>
  <si>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</si>
  <si>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</si>
  <si>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</si>
  <si>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</si>
  <si>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</si>
  <si>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</si>
  <si>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</si>
  <si>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</si>
  <si>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</si>
  <si>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</si>
  <si>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</si>
  <si>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</si>
  <si>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</si>
  <si>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</si>
  <si>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</si>
  <si>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</si>
  <si>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</si>
  <si>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</si>
  <si>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</si>
  <si>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</si>
  <si>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</si>
  <si>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</si>
  <si>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</si>
  <si>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</si>
  <si>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</si>
  <si>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</si>
  <si>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</si>
  <si>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</si>
  <si>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</si>
  <si>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</si>
  <si>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</si>
  <si>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</si>
  <si>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</si>
  <si>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</si>
  <si>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</si>
  <si>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</si>
  <si>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</si>
  <si>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</si>
  <si>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</si>
  <si>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</si>
  <si>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</si>
  <si>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</si>
  <si>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</si>
  <si>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</si>
  <si>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</si>
  <si>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</si>
  <si>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</si>
  <si>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</si>
  <si>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</si>
  <si>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</si>
  <si>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</si>
  <si>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</si>
  <si>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</si>
  <si>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</si>
  <si>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</si>
  <si>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</si>
  <si>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</si>
  <si>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</si>
  <si>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</si>
  <si>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</si>
  <si>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</si>
  <si>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</si>
  <si>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</si>
  <si>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</si>
  <si>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</si>
  <si>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</si>
  <si>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</si>
  <si>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</si>
  <si>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</si>
  <si>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</si>
  <si>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</si>
  <si>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</si>
  <si>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</si>
  <si>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</si>
  <si>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</si>
  <si>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</si>
  <si>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</si>
  <si>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</si>
  <si>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</si>
  <si>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</si>
  <si>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</si>
  <si>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</si>
  <si>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</si>
  <si>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</si>
  <si>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</si>
  <si>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</si>
  <si>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</si>
  <si>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</si>
  <si>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</si>
  <si>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</si>
  <si>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</si>
  <si>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</si>
  <si>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</si>
  <si>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</si>
  <si>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</si>
  <si>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</si>
  <si>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</si>
  <si>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</si>
  <si>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</si>
  <si>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</si>
  <si>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</si>
  <si>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</si>
  <si>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</si>
  <si>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</si>
  <si>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</si>
  <si>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</si>
  <si>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</si>
  <si>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</si>
  <si>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</si>
  <si>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</si>
  <si>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</si>
  <si>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</si>
  <si>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</si>
  <si>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</si>
  <si>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</si>
  <si>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</si>
  <si>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</si>
  <si>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</si>
  <si>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</si>
  <si>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</si>
  <si>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</si>
  <si>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</si>
  <si>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</si>
  <si>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</si>
  <si>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</si>
  <si>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</si>
  <si>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</si>
  <si>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</si>
  <si>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</si>
  <si>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</si>
  <si>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</si>
  <si>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</si>
  <si>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</si>
  <si>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</si>
  <si>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</si>
  <si>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</si>
  <si>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</si>
  <si>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</si>
  <si>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</si>
  <si>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</si>
  <si>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</si>
  <si>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</si>
  <si>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</si>
  <si>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</si>
  <si>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</si>
  <si>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</si>
  <si>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</si>
  <si>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</si>
  <si>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</si>
  <si>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</si>
  <si>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</si>
  <si>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</si>
  <si>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</si>
  <si>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</si>
  <si>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</si>
  <si>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</si>
  <si>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</si>
  <si>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</si>
  <si>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</si>
  <si>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</si>
  <si>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</si>
  <si>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</si>
  <si>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</si>
  <si>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</si>
  <si>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</si>
  <si>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</si>
  <si>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</si>
  <si>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</si>
  <si>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</si>
  <si>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</si>
  <si>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</si>
  <si>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</si>
  <si>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</si>
  <si>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</si>
  <si>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</si>
  <si>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</si>
  <si>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</si>
  <si>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</si>
  <si>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</si>
  <si>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</si>
  <si>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</si>
  <si>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</si>
  <si>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</si>
  <si>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</si>
  <si>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</si>
  <si>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</si>
  <si>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</si>
  <si>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</si>
  <si>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</si>
  <si>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</si>
  <si>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</si>
  <si>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</si>
  <si>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</si>
  <si>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</si>
  <si>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</si>
  <si>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</si>
  <si>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</si>
  <si>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</si>
  <si>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</si>
  <si>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</si>
  <si>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</si>
  <si>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</si>
  <si>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</si>
  <si>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</si>
  <si>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</si>
  <si>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</si>
  <si>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</si>
  <si>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</si>
  <si>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</si>
  <si>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</si>
  <si>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</si>
  <si>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</si>
  <si>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</si>
  <si>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</si>
  <si>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</si>
  <si>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</si>
  <si>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</si>
  <si>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</si>
  <si>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</si>
  <si>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</si>
  <si>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</si>
  <si>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</si>
  <si>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</si>
  <si>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</si>
  <si>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</si>
  <si>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</si>
  <si>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</si>
  <si>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</si>
  <si>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</si>
  <si>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</si>
  <si>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</si>
  <si>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</si>
  <si>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</si>
  <si>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</si>
  <si>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</si>
  <si>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</si>
  <si>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</si>
  <si>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</si>
  <si>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</si>
  <si>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</si>
  <si>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</si>
  <si>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</si>
  <si>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</si>
  <si>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</si>
  <si>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</si>
  <si>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</si>
  <si>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</si>
  <si>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</si>
  <si>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</si>
  <si>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</si>
  <si>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</si>
  <si>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</si>
  <si>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</si>
  <si>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</si>
  <si>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</si>
  <si>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</si>
  <si>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</si>
  <si>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</si>
  <si>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</si>
  <si>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</si>
  <si>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</si>
  <si>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</si>
  <si>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</si>
  <si>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</si>
  <si>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</si>
  <si>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</si>
  <si>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</si>
  <si>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</si>
  <si>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</si>
  <si>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</si>
  <si>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</si>
  <si>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</si>
  <si>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</si>
  <si>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</si>
  <si>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</si>
  <si>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</si>
  <si>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</si>
  <si>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</si>
  <si>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</si>
  <si>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</si>
  <si>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</si>
  <si>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</si>
  <si>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</si>
  <si>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</si>
  <si>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</si>
  <si>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</si>
  <si>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</si>
  <si>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</si>
  <si>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</si>
  <si>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</si>
  <si>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</si>
  <si>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</si>
  <si>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</si>
  <si>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</si>
  <si>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</si>
  <si>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</si>
  <si>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</si>
  <si>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</si>
  <si>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</si>
  <si>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</si>
  <si>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</si>
  <si>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</si>
  <si>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</si>
  <si>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</si>
  <si>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</si>
  <si>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</si>
  <si>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</si>
  <si>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</si>
  <si>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</si>
  <si>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</si>
  <si>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</si>
  <si>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</si>
  <si>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</si>
  <si>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</si>
  <si>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</si>
  <si>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</si>
  <si>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</si>
  <si>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</si>
  <si>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</si>
  <si>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</si>
  <si>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</si>
  <si>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</si>
  <si>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</si>
  <si>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</si>
  <si>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</si>
  <si>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</si>
  <si>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</si>
  <si>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</si>
  <si>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</si>
  <si>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</si>
  <si>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</si>
  <si>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</si>
  <si>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</si>
  <si>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</si>
  <si>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</si>
  <si>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</si>
  <si>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</si>
  <si>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</si>
  <si>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</si>
  <si>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</si>
  <si>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</si>
  <si>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</si>
  <si>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</si>
  <si>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</si>
  <si>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</si>
  <si>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</si>
  <si>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</si>
  <si>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</si>
  <si>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</si>
  <si>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</si>
  <si>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</si>
  <si>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</si>
  <si>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</si>
  <si>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</si>
  <si>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</si>
  <si>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</si>
  <si>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</si>
  <si>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</si>
  <si>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</si>
  <si>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</si>
  <si>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</si>
  <si>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</si>
  <si>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</si>
  <si>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</si>
  <si>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01.01.2011-31.12.2011</t>
  </si>
  <si>
    <t>15.01.2012 г.</t>
  </si>
  <si>
    <t>Дата на съставяне: 15.01.2012 г.</t>
  </si>
  <si>
    <t xml:space="preserve">Дата на съставяне:15.01.2012 г.                                       </t>
  </si>
  <si>
    <t xml:space="preserve">Дата  на съставяне: 15.01.2012  г.                                                                                                                          </t>
  </si>
  <si>
    <t xml:space="preserve">Дата на съставяне:15.01.2012 г.             </t>
  </si>
  <si>
    <t>Дата на съставяне:15.01.2012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</si>
</sst>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0" sqref="A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>
        <v>819363984</v>
      </c>
    </row>
    <row r="4" spans="1:8" ht="15">
      <c r="A4" s="578" t="s">
        <v>3</v>
      </c>
      <c r="B4" s="584"/>
      <c r="C4" s="584"/>
      <c r="D4" s="584"/>
      <c r="E4" s="504" t="s">
        <v>864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1317</v>
      </c>
      <c r="D12" s="151">
        <v>1390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2328</v>
      </c>
      <c r="D13" s="151">
        <v>2824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120</v>
      </c>
      <c r="D14" s="151">
        <v>134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</v>
      </c>
      <c r="D15" s="151">
        <v>31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78+17</f>
        <v>95</v>
      </c>
      <c r="D16" s="151">
        <v>126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</v>
      </c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4209</v>
      </c>
      <c r="D19" s="155">
        <f>SUM(D11:D18)</f>
        <v>4846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1345</v>
      </c>
      <c r="H20" s="158">
        <v>1348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27</v>
      </c>
      <c r="D24" s="151">
        <v>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1645</v>
      </c>
      <c r="H25" s="154">
        <f>H19+H20+H21</f>
        <v>1648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27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415</v>
      </c>
      <c r="H27" s="154">
        <f>SUM(H28:H30)</f>
        <v>233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856</v>
      </c>
      <c r="H28" s="152">
        <v>674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378</v>
      </c>
      <c r="H31" s="152">
        <v>180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793</v>
      </c>
      <c r="H33" s="154">
        <f>H27+H31+H32</f>
        <v>413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5438</v>
      </c>
      <c r="H36" s="154">
        <f>H25+H17+H33</f>
        <v>5061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1251</v>
      </c>
      <c r="H44" s="152">
        <v>1969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68</v>
      </c>
      <c r="H48" s="152">
        <v>209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1319</v>
      </c>
      <c r="H49" s="154">
        <f>SUM(H43:H48)</f>
        <v>2178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44</v>
      </c>
      <c r="H53" s="152">
        <v>172</v>
      </c>
    </row>
    <row r="54" spans="1:8" ht="15">
      <c r="A54" s="235" t="s">
        <v>166</v>
      </c>
      <c r="B54" s="249" t="s">
        <v>167</v>
      </c>
      <c r="C54" s="151"/>
      <c r="D54" s="151">
        <v>128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4236</v>
      </c>
      <c r="D55" s="155">
        <f>D19+D20+D21+D27+D32+D45+D51+D53+D54</f>
        <v>5015</v>
      </c>
      <c r="E55" s="237" t="s">
        <v>172</v>
      </c>
      <c r="F55" s="261" t="s">
        <v>173</v>
      </c>
      <c r="G55" s="154">
        <f>G49+G51+G52+G53+G54</f>
        <v>1363</v>
      </c>
      <c r="H55" s="154">
        <f>H49+H51+H52+H53+H54</f>
        <v>2350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959</v>
      </c>
      <c r="D58" s="151">
        <v>869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408</v>
      </c>
      <c r="D59" s="151">
        <v>425</v>
      </c>
      <c r="E59" s="251" t="s">
        <v>181</v>
      </c>
      <c r="F59" s="242" t="s">
        <v>182</v>
      </c>
      <c r="G59" s="152">
        <f>606-117</f>
        <v>489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818</v>
      </c>
      <c r="D60" s="151">
        <v>700</v>
      </c>
      <c r="E60" s="237" t="s">
        <v>185</v>
      </c>
      <c r="F60" s="242" t="s">
        <v>186</v>
      </c>
      <c r="G60" s="152"/>
      <c r="H60" s="152">
        <v>325</v>
      </c>
    </row>
    <row r="61" spans="1:18" ht="15">
      <c r="A61" s="235" t="s">
        <v>187</v>
      </c>
      <c r="B61" s="244" t="s">
        <v>188</v>
      </c>
      <c r="C61" s="151">
        <v>733</v>
      </c>
      <c r="D61" s="151">
        <v>588</v>
      </c>
      <c r="E61" s="243" t="s">
        <v>189</v>
      </c>
      <c r="F61" s="272" t="s">
        <v>190</v>
      </c>
      <c r="G61" s="154">
        <f>SUM(G62:G68)</f>
        <v>2727</v>
      </c>
      <c r="H61" s="154">
        <f>SUM(H62:H68)</f>
        <v>2378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2918</v>
      </c>
      <c r="D64" s="155">
        <f>SUM(D58:D63)</f>
        <v>2582</v>
      </c>
      <c r="E64" s="237" t="s">
        <v>200</v>
      </c>
      <c r="F64" s="242" t="s">
        <v>201</v>
      </c>
      <c r="G64" s="152">
        <f>2476-29</f>
        <v>2447</v>
      </c>
      <c r="H64" s="152">
        <v>2078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29</v>
      </c>
      <c r="H65" s="152">
        <v>29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94</v>
      </c>
      <c r="H66" s="152">
        <v>117</v>
      </c>
    </row>
    <row r="67" spans="1:8" ht="15">
      <c r="A67" s="235" t="s">
        <v>207</v>
      </c>
      <c r="B67" s="241" t="s">
        <v>208</v>
      </c>
      <c r="C67" s="151">
        <v>897</v>
      </c>
      <c r="D67" s="151">
        <v>872</v>
      </c>
      <c r="E67" s="237" t="s">
        <v>209</v>
      </c>
      <c r="F67" s="242" t="s">
        <v>210</v>
      </c>
      <c r="G67" s="152">
        <v>32</v>
      </c>
      <c r="H67" s="152">
        <v>30</v>
      </c>
    </row>
    <row r="68" spans="1:8" ht="15">
      <c r="A68" s="235" t="s">
        <v>211</v>
      </c>
      <c r="B68" s="241" t="s">
        <v>212</v>
      </c>
      <c r="C68" s="151">
        <f>2530-31</f>
        <v>2499</v>
      </c>
      <c r="D68" s="151">
        <v>2282</v>
      </c>
      <c r="E68" s="237" t="s">
        <v>213</v>
      </c>
      <c r="F68" s="242" t="s">
        <v>214</v>
      </c>
      <c r="G68" s="152">
        <v>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31</v>
      </c>
      <c r="D69" s="151">
        <v>9</v>
      </c>
      <c r="E69" s="251" t="s">
        <v>78</v>
      </c>
      <c r="F69" s="242" t="s">
        <v>217</v>
      </c>
      <c r="G69" s="152">
        <v>56</v>
      </c>
      <c r="H69" s="152">
        <v>64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10</v>
      </c>
      <c r="E71" s="253" t="s">
        <v>46</v>
      </c>
      <c r="F71" s="273" t="s">
        <v>224</v>
      </c>
      <c r="G71" s="161">
        <f>G59+G60+G61+G69+G70</f>
        <v>3272</v>
      </c>
      <c r="H71" s="161">
        <f>H59+H60+H61+H69+H70</f>
        <v>3256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146</v>
      </c>
      <c r="D72" s="151">
        <v>99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1058-10-897</f>
        <v>151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3734</v>
      </c>
      <c r="D75" s="155">
        <f>SUM(D67:D74)</f>
        <v>3275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880</v>
      </c>
      <c r="H76" s="152">
        <v>224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4152</v>
      </c>
      <c r="H79" s="162">
        <f>H71+H74+H75+H76</f>
        <v>3480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48-6</f>
        <v>42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48</v>
      </c>
      <c r="D91" s="155">
        <f>SUM(D87:D90)</f>
        <v>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17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6717</v>
      </c>
      <c r="D93" s="155">
        <f>D64+D75+D84+D91+D92</f>
        <v>5876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10953</v>
      </c>
      <c r="D94" s="164">
        <f>D93+D55</f>
        <v>10891</v>
      </c>
      <c r="E94" s="449" t="s">
        <v>270</v>
      </c>
      <c r="F94" s="289" t="s">
        <v>271</v>
      </c>
      <c r="G94" s="165">
        <f>G36+G39+G55+G79</f>
        <v>10953</v>
      </c>
      <c r="H94" s="165">
        <f>H36+H39+H55+H79</f>
        <v>10891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576"/>
      <c r="M96" s="157"/>
    </row>
    <row r="97" spans="1:13" ht="15">
      <c r="A97" s="431"/>
      <c r="B97" s="432"/>
      <c r="C97" s="150"/>
      <c r="D97" s="150"/>
      <c r="E97" s="433"/>
      <c r="F97" s="577"/>
      <c r="G97" s="576"/>
      <c r="H97" s="172"/>
      <c r="M97" s="157"/>
    </row>
    <row r="98" spans="1:13" ht="15">
      <c r="A98" s="45" t="s">
        <v>867</v>
      </c>
      <c r="B98" s="432"/>
      <c r="C98" s="582" t="s">
        <v>381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781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3" sqref="D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"Торготерм"АД</v>
      </c>
      <c r="C2" s="586"/>
      <c r="D2" s="586"/>
      <c r="E2" s="586"/>
      <c r="F2" s="588" t="s">
        <v>2</v>
      </c>
      <c r="G2" s="588"/>
      <c r="H2" s="526">
        <f>'справка №1-БАЛАНС'!H3</f>
        <v>819363984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01.01.2011-31.12.2011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4728+665</f>
        <v>5393</v>
      </c>
      <c r="D9" s="46">
        <f>4176+521</f>
        <v>4697</v>
      </c>
      <c r="E9" s="298" t="s">
        <v>284</v>
      </c>
      <c r="F9" s="549" t="s">
        <v>285</v>
      </c>
      <c r="G9" s="550">
        <v>7814</v>
      </c>
      <c r="H9" s="550">
        <v>7160</v>
      </c>
    </row>
    <row r="10" spans="1:8" ht="12">
      <c r="A10" s="298" t="s">
        <v>286</v>
      </c>
      <c r="B10" s="299" t="s">
        <v>287</v>
      </c>
      <c r="C10" s="46">
        <v>311</v>
      </c>
      <c r="D10" s="46">
        <v>243</v>
      </c>
      <c r="E10" s="298" t="s">
        <v>288</v>
      </c>
      <c r="F10" s="549" t="s">
        <v>289</v>
      </c>
      <c r="G10" s="550">
        <v>710</v>
      </c>
      <c r="H10" s="550">
        <v>423</v>
      </c>
    </row>
    <row r="11" spans="1:8" ht="12">
      <c r="A11" s="298" t="s">
        <v>290</v>
      </c>
      <c r="B11" s="299" t="s">
        <v>291</v>
      </c>
      <c r="C11" s="46">
        <v>705</v>
      </c>
      <c r="D11" s="46">
        <v>570</v>
      </c>
      <c r="E11" s="300" t="s">
        <v>292</v>
      </c>
      <c r="F11" s="549" t="s">
        <v>293</v>
      </c>
      <c r="G11" s="550">
        <v>51</v>
      </c>
      <c r="H11" s="550">
        <v>100</v>
      </c>
    </row>
    <row r="12" spans="1:8" ht="12">
      <c r="A12" s="298" t="s">
        <v>294</v>
      </c>
      <c r="B12" s="299" t="s">
        <v>295</v>
      </c>
      <c r="C12" s="46">
        <v>1651</v>
      </c>
      <c r="D12" s="46">
        <v>1632</v>
      </c>
      <c r="E12" s="300" t="s">
        <v>78</v>
      </c>
      <c r="F12" s="549" t="s">
        <v>296</v>
      </c>
      <c r="G12" s="550">
        <v>197</v>
      </c>
      <c r="H12" s="550">
        <v>212</v>
      </c>
    </row>
    <row r="13" spans="1:18" ht="12">
      <c r="A13" s="298" t="s">
        <v>297</v>
      </c>
      <c r="B13" s="299" t="s">
        <v>298</v>
      </c>
      <c r="C13" s="46">
        <v>200</v>
      </c>
      <c r="D13" s="46">
        <v>181</v>
      </c>
      <c r="E13" s="301" t="s">
        <v>51</v>
      </c>
      <c r="F13" s="551" t="s">
        <v>299</v>
      </c>
      <c r="G13" s="548">
        <f>SUM(G9:G12)</f>
        <v>8772</v>
      </c>
      <c r="H13" s="548">
        <f>SUM(H9:H12)</f>
        <v>7895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391</v>
      </c>
      <c r="D14" s="46">
        <v>436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47-31-665</f>
        <v>-649</v>
      </c>
      <c r="D15" s="47">
        <v>-459</v>
      </c>
      <c r="E15" s="296" t="s">
        <v>304</v>
      </c>
      <c r="F15" s="554" t="s">
        <v>305</v>
      </c>
      <c r="G15" s="550">
        <v>137</v>
      </c>
      <c r="H15" s="550">
        <v>63</v>
      </c>
    </row>
    <row r="16" spans="1:8" ht="12">
      <c r="A16" s="298" t="s">
        <v>306</v>
      </c>
      <c r="B16" s="299" t="s">
        <v>307</v>
      </c>
      <c r="C16" s="47">
        <v>316</v>
      </c>
      <c r="D16" s="47">
        <v>278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8318</v>
      </c>
      <c r="D19" s="49">
        <f>SUM(D9:D15)+D16</f>
        <v>7578</v>
      </c>
      <c r="E19" s="304" t="s">
        <v>316</v>
      </c>
      <c r="F19" s="552" t="s">
        <v>317</v>
      </c>
      <c r="G19" s="550"/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163</v>
      </c>
      <c r="D22" s="46">
        <v>134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6</v>
      </c>
      <c r="D24" s="46">
        <v>8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44</v>
      </c>
      <c r="D25" s="46">
        <v>49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213</v>
      </c>
      <c r="D26" s="49">
        <f>SUM(D22:D25)</f>
        <v>191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8531</v>
      </c>
      <c r="D28" s="50">
        <f>D26+D19</f>
        <v>7769</v>
      </c>
      <c r="E28" s="127" t="s">
        <v>338</v>
      </c>
      <c r="F28" s="554" t="s">
        <v>339</v>
      </c>
      <c r="G28" s="548">
        <f>G13+G15+G24</f>
        <v>8909</v>
      </c>
      <c r="H28" s="548">
        <f>H13+H15+H24</f>
        <v>7963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378</v>
      </c>
      <c r="D30" s="50">
        <f>IF((H28-D28)&gt;0,H28-D28,0)</f>
        <v>194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8531</v>
      </c>
      <c r="D33" s="49">
        <f>D28-D31+D32</f>
        <v>7769</v>
      </c>
      <c r="E33" s="127" t="s">
        <v>352</v>
      </c>
      <c r="F33" s="554" t="s">
        <v>353</v>
      </c>
      <c r="G33" s="53">
        <f>G32-G31+G28</f>
        <v>8909</v>
      </c>
      <c r="H33" s="53">
        <f>H32-H31+H28</f>
        <v>7963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378</v>
      </c>
      <c r="D34" s="50">
        <f>IF((H33-D33)&gt;0,H33-D33,0)</f>
        <v>194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14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378</v>
      </c>
      <c r="D39" s="460">
        <f>+IF((H33-D33-D35)&gt;0,H33-D33-D35,0)</f>
        <v>180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378</v>
      </c>
      <c r="D41" s="52">
        <f>IF(H39=0,IF(D39-D40&gt;0,D39-D40+H40,0),IF(H39-H40&lt;0,H40-H39+D39,0))</f>
        <v>180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8909</v>
      </c>
      <c r="D42" s="53">
        <f>D33+D35+D39</f>
        <v>7963</v>
      </c>
      <c r="E42" s="128" t="s">
        <v>379</v>
      </c>
      <c r="F42" s="129" t="s">
        <v>380</v>
      </c>
      <c r="G42" s="53">
        <f>G39+G33</f>
        <v>8909</v>
      </c>
      <c r="H42" s="53">
        <f>H39+H33</f>
        <v>7963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01.01.2011-31.12.2011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8947</v>
      </c>
      <c r="D10" s="54">
        <f>7687-9</f>
        <v>7678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-7615+141+55</f>
        <v>-7419</v>
      </c>
      <c r="D11" s="575">
        <f>-8604+1956+155</f>
        <v>-6493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-928</v>
      </c>
      <c r="D13" s="575">
        <v>-994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463</v>
      </c>
      <c r="D14" s="575">
        <f>483-18</f>
        <v>465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>
        <v>74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-38</v>
      </c>
      <c r="D17" s="575">
        <v>-42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-382</v>
      </c>
      <c r="D19" s="575">
        <f>477-483</f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640</v>
      </c>
      <c r="D20" s="55">
        <f>SUM(D10:D19)</f>
        <v>679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-55</v>
      </c>
      <c r="D22" s="575">
        <v>-1956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-55</v>
      </c>
      <c r="D32" s="55">
        <f>SUM(D22:D31)</f>
        <v>-1947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506</v>
      </c>
      <c r="D36" s="54">
        <v>2438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-1549</v>
      </c>
      <c r="D37" s="575">
        <v>-682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-141</v>
      </c>
      <c r="D38" s="575">
        <v>-155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-89-66+38</f>
        <v>-117</v>
      </c>
      <c r="D39" s="575">
        <f>-112+42</f>
        <v>-70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745</v>
      </c>
      <c r="D41" s="575">
        <f>-280+8</f>
        <v>-272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-556</v>
      </c>
      <c r="D42" s="55">
        <f>SUM(D34:D41)</f>
        <v>1259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48</v>
      </c>
      <c r="D45" s="55">
        <f>D44+D43</f>
        <v>19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48</v>
      </c>
      <c r="D46" s="56">
        <v>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D16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"Торготерм"АД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01.01.2011-31.12.2011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1348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854</v>
      </c>
      <c r="J11" s="58">
        <f>'справка №1-БАЛАНС'!H29+'справка №1-БАЛАНС'!H32</f>
        <v>-441</v>
      </c>
      <c r="K11" s="60"/>
      <c r="L11" s="344">
        <f>SUM(C11:K11)</f>
        <v>5061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1348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854</v>
      </c>
      <c r="J15" s="61">
        <f t="shared" si="2"/>
        <v>-441</v>
      </c>
      <c r="K15" s="61">
        <f t="shared" si="2"/>
        <v>0</v>
      </c>
      <c r="L15" s="344">
        <f t="shared" si="1"/>
        <v>5061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378</v>
      </c>
      <c r="J16" s="345">
        <f>+'справка №1-БАЛАНС'!G32</f>
        <v>0</v>
      </c>
      <c r="K16" s="60"/>
      <c r="L16" s="344">
        <f t="shared" si="1"/>
        <v>378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</v>
      </c>
      <c r="F28" s="60"/>
      <c r="G28" s="60"/>
      <c r="H28" s="60"/>
      <c r="I28" s="60">
        <v>2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1345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1234</v>
      </c>
      <c r="J29" s="59">
        <f t="shared" si="6"/>
        <v>-441</v>
      </c>
      <c r="K29" s="59">
        <f t="shared" si="6"/>
        <v>0</v>
      </c>
      <c r="L29" s="344">
        <f t="shared" si="1"/>
        <v>5438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1345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1234</v>
      </c>
      <c r="J32" s="59">
        <f t="shared" si="7"/>
        <v>-441</v>
      </c>
      <c r="K32" s="59">
        <f t="shared" si="7"/>
        <v>0</v>
      </c>
      <c r="L32" s="344">
        <f t="shared" si="1"/>
        <v>5438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25" sqref="A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"Торготерм"АД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01.01.2011-31.12.2011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1" t="s">
        <v>529</v>
      </c>
      <c r="R5" s="601" t="s">
        <v>530</v>
      </c>
    </row>
    <row r="6" spans="1:18" s="100" customFormat="1" ht="48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2"/>
      <c r="R6" s="60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/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452</v>
      </c>
      <c r="L10" s="65">
        <v>74</v>
      </c>
      <c r="M10" s="65"/>
      <c r="N10" s="74">
        <f aca="true" t="shared" si="4" ref="N10:N39">K10+L10-M10</f>
        <v>526</v>
      </c>
      <c r="O10" s="65"/>
      <c r="P10" s="65"/>
      <c r="Q10" s="74">
        <f t="shared" si="0"/>
        <v>526</v>
      </c>
      <c r="R10" s="74">
        <f t="shared" si="1"/>
        <v>1317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4935+2015</f>
        <v>6950</v>
      </c>
      <c r="E11" s="189">
        <v>37</v>
      </c>
      <c r="F11" s="189">
        <v>44</v>
      </c>
      <c r="G11" s="74">
        <f t="shared" si="2"/>
        <v>6943</v>
      </c>
      <c r="H11" s="65"/>
      <c r="I11" s="65"/>
      <c r="J11" s="74">
        <f t="shared" si="3"/>
        <v>6943</v>
      </c>
      <c r="K11" s="65">
        <f>4127</f>
        <v>4127</v>
      </c>
      <c r="L11" s="65">
        <v>532</v>
      </c>
      <c r="M11" s="65">
        <v>44</v>
      </c>
      <c r="N11" s="74">
        <f t="shared" si="4"/>
        <v>4615</v>
      </c>
      <c r="O11" s="65"/>
      <c r="P11" s="65"/>
      <c r="Q11" s="74">
        <f t="shared" si="0"/>
        <v>4615</v>
      </c>
      <c r="R11" s="74">
        <f t="shared" si="1"/>
        <v>2328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195</v>
      </c>
      <c r="L12" s="65">
        <v>14</v>
      </c>
      <c r="M12" s="65"/>
      <c r="N12" s="74">
        <f t="shared" si="4"/>
        <v>209</v>
      </c>
      <c r="O12" s="65"/>
      <c r="P12" s="65"/>
      <c r="Q12" s="74">
        <f t="shared" si="0"/>
        <v>209</v>
      </c>
      <c r="R12" s="74">
        <f t="shared" si="1"/>
        <v>120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224</v>
      </c>
      <c r="E13" s="189">
        <v>2</v>
      </c>
      <c r="F13" s="189">
        <v>79</v>
      </c>
      <c r="G13" s="74">
        <f t="shared" si="2"/>
        <v>147</v>
      </c>
      <c r="H13" s="65"/>
      <c r="I13" s="65"/>
      <c r="J13" s="74">
        <f t="shared" si="3"/>
        <v>147</v>
      </c>
      <c r="K13" s="65">
        <v>193</v>
      </c>
      <c r="L13" s="65">
        <v>22</v>
      </c>
      <c r="M13" s="65">
        <v>76</v>
      </c>
      <c r="N13" s="74">
        <f t="shared" si="4"/>
        <v>139</v>
      </c>
      <c r="O13" s="65"/>
      <c r="P13" s="65"/>
      <c r="Q13" s="74">
        <f t="shared" si="0"/>
        <v>139</v>
      </c>
      <c r="R13" s="74">
        <f t="shared" si="1"/>
        <v>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168+245+293</f>
        <v>706</v>
      </c>
      <c r="E14" s="189">
        <f>16</f>
        <v>16</v>
      </c>
      <c r="F14" s="189">
        <f>100+20+11</f>
        <v>131</v>
      </c>
      <c r="G14" s="74">
        <f t="shared" si="2"/>
        <v>591</v>
      </c>
      <c r="H14" s="65"/>
      <c r="I14" s="65"/>
      <c r="J14" s="74">
        <f t="shared" si="3"/>
        <v>591</v>
      </c>
      <c r="K14" s="65">
        <f>140+170+270</f>
        <v>580</v>
      </c>
      <c r="L14" s="65">
        <f>15+25+8</f>
        <v>48</v>
      </c>
      <c r="M14" s="65">
        <f>11+20+101</f>
        <v>132</v>
      </c>
      <c r="N14" s="74">
        <f t="shared" si="4"/>
        <v>496</v>
      </c>
      <c r="O14" s="65"/>
      <c r="P14" s="65"/>
      <c r="Q14" s="74">
        <f t="shared" si="0"/>
        <v>496</v>
      </c>
      <c r="R14" s="74">
        <f t="shared" si="1"/>
        <v>95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/>
      <c r="F15" s="457"/>
      <c r="G15" s="74">
        <f t="shared" si="2"/>
        <v>11</v>
      </c>
      <c r="H15" s="458"/>
      <c r="I15" s="458"/>
      <c r="J15" s="74">
        <f t="shared" si="3"/>
        <v>11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10393</v>
      </c>
      <c r="E17" s="194">
        <f>SUM(E9:E16)</f>
        <v>55</v>
      </c>
      <c r="F17" s="194">
        <f>SUM(F9:F16)</f>
        <v>254</v>
      </c>
      <c r="G17" s="74">
        <f t="shared" si="2"/>
        <v>10194</v>
      </c>
      <c r="H17" s="75">
        <f>SUM(H9:H16)</f>
        <v>0</v>
      </c>
      <c r="I17" s="75">
        <f>SUM(I9:I16)</f>
        <v>0</v>
      </c>
      <c r="J17" s="74">
        <f t="shared" si="3"/>
        <v>10194</v>
      </c>
      <c r="K17" s="75">
        <f>SUM(K9:K16)</f>
        <v>5547</v>
      </c>
      <c r="L17" s="75">
        <f>SUM(L9:L16)</f>
        <v>690</v>
      </c>
      <c r="M17" s="75">
        <f>SUM(M9:M16)</f>
        <v>252</v>
      </c>
      <c r="N17" s="74">
        <f t="shared" si="4"/>
        <v>5985</v>
      </c>
      <c r="O17" s="75">
        <f>SUM(O9:O16)</f>
        <v>0</v>
      </c>
      <c r="P17" s="75">
        <f>SUM(P9:P16)</f>
        <v>0</v>
      </c>
      <c r="Q17" s="74">
        <f t="shared" si="5"/>
        <v>5985</v>
      </c>
      <c r="R17" s="74">
        <f t="shared" si="6"/>
        <v>4209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86</v>
      </c>
      <c r="E22" s="189">
        <v>2</v>
      </c>
      <c r="F22" s="189">
        <v>20</v>
      </c>
      <c r="G22" s="74">
        <f t="shared" si="2"/>
        <v>68</v>
      </c>
      <c r="H22" s="65"/>
      <c r="I22" s="65"/>
      <c r="J22" s="74">
        <f t="shared" si="3"/>
        <v>68</v>
      </c>
      <c r="K22" s="65">
        <v>45</v>
      </c>
      <c r="L22" s="65">
        <v>16</v>
      </c>
      <c r="M22" s="65">
        <v>20</v>
      </c>
      <c r="N22" s="74">
        <f t="shared" si="4"/>
        <v>41</v>
      </c>
      <c r="O22" s="65"/>
      <c r="P22" s="65"/>
      <c r="Q22" s="74">
        <f t="shared" si="5"/>
        <v>41</v>
      </c>
      <c r="R22" s="74">
        <f t="shared" si="6"/>
        <v>27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86</v>
      </c>
      <c r="E25" s="190">
        <f aca="true" t="shared" si="7" ref="E25:P25">SUM(E21:E24)</f>
        <v>2</v>
      </c>
      <c r="F25" s="190">
        <f t="shared" si="7"/>
        <v>20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45</v>
      </c>
      <c r="L25" s="66">
        <f t="shared" si="7"/>
        <v>16</v>
      </c>
      <c r="M25" s="66">
        <f t="shared" si="7"/>
        <v>20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27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10479</v>
      </c>
      <c r="E40" s="438">
        <f>E17+E18+E19+E25+E38+E39</f>
        <v>57</v>
      </c>
      <c r="F40" s="438">
        <f aca="true" t="shared" si="13" ref="F40:R40">F17+F18+F19+F25+F38+F39</f>
        <v>274</v>
      </c>
      <c r="G40" s="438">
        <f t="shared" si="13"/>
        <v>10262</v>
      </c>
      <c r="H40" s="438">
        <f t="shared" si="13"/>
        <v>0</v>
      </c>
      <c r="I40" s="438">
        <f t="shared" si="13"/>
        <v>0</v>
      </c>
      <c r="J40" s="438">
        <f t="shared" si="13"/>
        <v>10262</v>
      </c>
      <c r="K40" s="438">
        <f t="shared" si="13"/>
        <v>5592</v>
      </c>
      <c r="L40" s="438">
        <f t="shared" si="13"/>
        <v>706</v>
      </c>
      <c r="M40" s="438">
        <f t="shared" si="13"/>
        <v>272</v>
      </c>
      <c r="N40" s="438">
        <f t="shared" si="13"/>
        <v>6026</v>
      </c>
      <c r="O40" s="438">
        <f t="shared" si="13"/>
        <v>0</v>
      </c>
      <c r="P40" s="438">
        <f t="shared" si="13"/>
        <v>0</v>
      </c>
      <c r="Q40" s="438">
        <f t="shared" si="13"/>
        <v>6026</v>
      </c>
      <c r="R40" s="438">
        <f t="shared" si="13"/>
        <v>4236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8"/>
      <c r="L44" s="598"/>
      <c r="M44" s="598"/>
      <c r="N44" s="598"/>
      <c r="O44" s="599" t="s">
        <v>781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"Торготерм"АД</v>
      </c>
      <c r="C3" s="621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01.01.2011-31.12.2011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897</v>
      </c>
      <c r="D24" s="119">
        <f>SUM(D25:D27)</f>
        <v>897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897</v>
      </c>
      <c r="D27" s="108">
        <v>897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2499</v>
      </c>
      <c r="D28" s="108">
        <v>2499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31</v>
      </c>
      <c r="D29" s="108">
        <v>31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146</v>
      </c>
      <c r="D33" s="105">
        <f>SUM(D34:D37)</f>
        <v>146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146</v>
      </c>
      <c r="D35" s="108">
        <v>146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151</v>
      </c>
      <c r="D38" s="105">
        <f>SUM(D39:D42)</f>
        <v>151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151</v>
      </c>
      <c r="D42" s="108">
        <v>151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3734</v>
      </c>
      <c r="D43" s="104">
        <f>D24+D28+D29+D31+D30+D32+D33+D38</f>
        <v>3734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3734</v>
      </c>
      <c r="D44" s="103">
        <f>D43+D21+D19+D9</f>
        <v>3734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1251</v>
      </c>
      <c r="D56" s="103">
        <f>D57+D59</f>
        <v>0</v>
      </c>
      <c r="E56" s="119">
        <f t="shared" si="1"/>
        <v>1251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1251</v>
      </c>
      <c r="D57" s="108"/>
      <c r="E57" s="119">
        <f t="shared" si="1"/>
        <v>1251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68</v>
      </c>
      <c r="D64" s="108"/>
      <c r="E64" s="119">
        <f t="shared" si="1"/>
        <v>68</v>
      </c>
      <c r="F64" s="110"/>
    </row>
    <row r="65" spans="1:6" ht="12">
      <c r="A65" s="396" t="s">
        <v>709</v>
      </c>
      <c r="B65" s="397" t="s">
        <v>710</v>
      </c>
      <c r="C65" s="109">
        <v>68</v>
      </c>
      <c r="D65" s="109"/>
      <c r="E65" s="119">
        <f t="shared" si="1"/>
        <v>68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1319</v>
      </c>
      <c r="D66" s="103">
        <f>D52+D56+D61+D62+D63+D64</f>
        <v>0</v>
      </c>
      <c r="E66" s="119">
        <f t="shared" si="1"/>
        <v>1319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44</v>
      </c>
      <c r="D68" s="108"/>
      <c r="E68" s="119">
        <f t="shared" si="1"/>
        <v>44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2727</v>
      </c>
      <c r="D85" s="104">
        <f>SUM(D86:D90)+D94</f>
        <v>2727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2447</v>
      </c>
      <c r="D87" s="108">
        <v>2447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94</v>
      </c>
      <c r="D89" s="108">
        <v>94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32</v>
      </c>
      <c r="D94" s="108">
        <v>32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56</v>
      </c>
      <c r="D95" s="108">
        <v>56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3272</v>
      </c>
      <c r="D96" s="104">
        <f>D85+D80+D75+D71+D95</f>
        <v>3272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4635</v>
      </c>
      <c r="D97" s="104">
        <f>D96+D68+D66</f>
        <v>3272</v>
      </c>
      <c r="E97" s="104">
        <f>E96+E68+E66</f>
        <v>1363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"Торготерм"АД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819363984</v>
      </c>
    </row>
    <row r="5" spans="1:9" ht="15">
      <c r="A5" s="501" t="s">
        <v>5</v>
      </c>
      <c r="B5" s="623" t="str">
        <f>'справка №1-БАЛАНС'!E5</f>
        <v>01.01.2011-31.12.2011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"Торготерм"АД</v>
      </c>
      <c r="C5" s="629"/>
      <c r="D5" s="629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0" t="str">
        <f>'справка №1-БАЛАНС'!E5</f>
        <v>01.01.2011-31.12.2011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849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2012-01-25T07:16:44Z</cp:lastPrinted>
  <dcterms:created xsi:type="dcterms:W3CDTF">2000-06-29T12:02:40Z</dcterms:created>
  <dcterms:modified xsi:type="dcterms:W3CDTF">2012-01-25T12:56:05Z</dcterms:modified>
  <cp:category/>
  <cp:version/>
  <cp:contentType/>
  <cp:contentStatus/>
</cp:coreProperties>
</file>