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8" windowWidth="10800" windowHeight="4116" tabRatio="573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<sst xmlns="http://schemas.openxmlformats.org/spreadsheetml/2006/main" count="1059" uniqueCount="870">
  <si>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</si>
  <si>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</si>
  <si>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</si>
  <si>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</si>
  <si>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</si>
  <si>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</si>
  <si>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</si>
  <si>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</si>
  <si>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</si>
  <si>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</si>
  <si>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</si>
  <si>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</si>
  <si>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</si>
  <si>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</si>
  <si>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</si>
  <si>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</si>
  <si>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</si>
  <si>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</si>
  <si>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</si>
  <si>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</si>
  <si>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</si>
  <si>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</si>
  <si>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</si>
  <si>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</si>
  <si>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</si>
  <si>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</si>
  <si>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</si>
  <si>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</si>
  <si>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</si>
  <si>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</si>
  <si>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</si>
  <si>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</si>
  <si>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</si>
  <si>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</si>
  <si>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</si>
  <si>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</si>
  <si>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</si>
  <si>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</si>
  <si>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</si>
  <si>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</si>
  <si>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</si>
  <si>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</si>
  <si>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</si>
  <si>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</si>
  <si>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</si>
  <si>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</si>
  <si>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</si>
  <si>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</si>
  <si>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</si>
  <si>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</si>
  <si>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</si>
  <si>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</si>
  <si>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</si>
  <si>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</si>
  <si>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</si>
  <si>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</si>
  <si>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</si>
  <si>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</si>
  <si>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</si>
  <si>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</si>
  <si>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</si>
  <si>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</si>
  <si>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</si>
  <si>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</si>
  <si>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</si>
  <si>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</si>
  <si>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</si>
  <si>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</si>
  <si>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</si>
  <si>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</si>
  <si>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</si>
  <si>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</si>
  <si>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</si>
  <si>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</si>
  <si>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</si>
  <si>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</si>
  <si>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</si>
  <si>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</si>
  <si>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</si>
  <si>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</si>
  <si>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</si>
  <si>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</si>
  <si>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</si>
  <si>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</si>
  <si>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</si>
  <si>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</si>
  <si>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</si>
  <si>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</si>
  <si>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</si>
  <si>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</si>
  <si>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</si>
  <si>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</si>
  <si>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</si>
  <si>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</si>
  <si>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</si>
  <si>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</si>
  <si>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</si>
  <si>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</si>
  <si>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</si>
  <si>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</si>
  <si>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</si>
  <si>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</si>
  <si>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</si>
  <si>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</si>
  <si>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</si>
  <si>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</si>
  <si>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</si>
  <si>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</si>
  <si>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</si>
  <si>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</si>
  <si>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</si>
  <si>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</si>
  <si>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</si>
  <si>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</si>
  <si>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</si>
  <si>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</si>
  <si>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</si>
  <si>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</si>
  <si>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</si>
  <si>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</si>
  <si>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</si>
  <si>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</si>
  <si>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</si>
  <si>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</si>
  <si>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</si>
  <si>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</si>
  <si>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</si>
  <si>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</si>
  <si>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</si>
  <si>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</si>
  <si>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</si>
  <si>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</si>
  <si>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</si>
  <si>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</si>
  <si>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</si>
  <si>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</si>
  <si>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</si>
  <si>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</si>
  <si>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</si>
  <si>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</si>
  <si>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</si>
  <si>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</si>
  <si>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</si>
  <si>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</si>
  <si>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</si>
  <si>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</si>
  <si>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</si>
  <si>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</si>
  <si>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</si>
  <si>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</si>
  <si>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</si>
  <si>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</si>
  <si>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</si>
  <si>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</si>
  <si>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</si>
  <si>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</si>
  <si>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</si>
  <si>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</si>
  <si>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</si>
  <si>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</si>
  <si>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</si>
  <si>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</si>
  <si>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</si>
  <si>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</si>
  <si>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</si>
  <si>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</si>
  <si>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</si>
  <si>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</si>
  <si>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</si>
  <si>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</si>
  <si>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</si>
  <si>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</si>
  <si>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</si>
  <si>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</si>
  <si>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</si>
  <si>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</si>
  <si>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</si>
  <si>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</si>
  <si>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</si>
  <si>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</si>
  <si>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</si>
  <si>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</si>
  <si>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</si>
  <si>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</si>
  <si>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</si>
  <si>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</si>
  <si>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</si>
  <si>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</si>
  <si>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</si>
  <si>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</si>
  <si>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</si>
  <si>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</si>
  <si>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</si>
  <si>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</si>
  <si>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</si>
  <si>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</si>
  <si>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</si>
  <si>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</si>
  <si>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</si>
  <si>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</si>
  <si>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</si>
  <si>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</si>
  <si>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</si>
  <si>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</si>
  <si>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</si>
  <si>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</si>
  <si>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</si>
  <si>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</si>
  <si>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</si>
  <si>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</si>
  <si>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</si>
  <si>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</si>
  <si>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</si>
  <si>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</si>
  <si>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</si>
  <si>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</si>
  <si>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</si>
  <si>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</si>
  <si>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</si>
  <si>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</si>
  <si>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</si>
  <si>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</si>
  <si>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</si>
  <si>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</si>
  <si>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</si>
  <si>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</si>
  <si>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</si>
  <si>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</si>
  <si>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</si>
  <si>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</si>
  <si>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</si>
  <si>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</si>
  <si>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</si>
  <si>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</si>
  <si>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</si>
  <si>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</si>
  <si>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</si>
  <si>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</si>
  <si>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</si>
  <si>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</si>
  <si>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</si>
  <si>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</si>
  <si>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</si>
  <si>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</si>
  <si>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</si>
  <si>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</si>
  <si>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</si>
  <si>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</si>
  <si>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</si>
  <si>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</si>
  <si>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</si>
  <si>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</si>
  <si>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</si>
  <si>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</si>
  <si>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</si>
  <si>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</si>
  <si>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</si>
  <si>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</si>
  <si>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</si>
  <si>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</si>
  <si>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</si>
  <si>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</si>
  <si>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</si>
  <si>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</si>
  <si>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</si>
  <si>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</si>
  <si>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</si>
  <si>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</si>
  <si>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</si>
  <si>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</si>
  <si>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</si>
  <si>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</si>
  <si>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</si>
  <si>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</si>
  <si>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</si>
  <si>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</si>
  <si>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</si>
  <si>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</si>
  <si>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</si>
  <si>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</si>
  <si>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</si>
  <si>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</si>
  <si>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</si>
  <si>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</si>
  <si>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</si>
  <si>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</si>
  <si>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</si>
  <si>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</si>
  <si>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</si>
  <si>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</si>
  <si>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</si>
  <si>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</si>
  <si>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</si>
  <si>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</si>
  <si>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</si>
  <si>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</si>
  <si>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</si>
  <si>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</si>
  <si>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</si>
  <si>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</si>
  <si>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</si>
  <si>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</si>
  <si>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</si>
  <si>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</si>
  <si>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</si>
  <si>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</si>
  <si>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</si>
  <si>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</si>
  <si>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</si>
  <si>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</si>
  <si>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</si>
  <si>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</si>
  <si>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</si>
  <si>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</si>
  <si>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</si>
  <si>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</si>
  <si>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</si>
  <si>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</si>
  <si>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</si>
  <si>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</si>
  <si>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</si>
  <si>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</si>
  <si>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</si>
  <si>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</si>
  <si>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</si>
  <si>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</si>
  <si>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</si>
  <si>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</si>
  <si>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</si>
  <si>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</si>
  <si>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</si>
  <si>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</si>
  <si>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</si>
  <si>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</si>
  <si>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</si>
  <si>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</si>
  <si>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</si>
  <si>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</si>
  <si>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</si>
  <si>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</si>
  <si>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</si>
  <si>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</si>
  <si>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</si>
  <si>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</si>
  <si>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</si>
  <si>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</si>
  <si>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</si>
  <si>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</si>
  <si>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</si>
  <si>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</si>
  <si>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</si>
  <si>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</si>
  <si>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</si>
  <si>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</si>
  <si>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</si>
  <si>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</si>
  <si>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</si>
  <si>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</si>
  <si>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</si>
  <si>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</si>
  <si>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</si>
  <si>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</si>
  <si>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</si>
  <si>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</si>
  <si>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</si>
  <si>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</si>
  <si>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</si>
  <si>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</si>
  <si>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</si>
  <si>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</si>
  <si>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</si>
  <si>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</si>
  <si>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</si>
  <si>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</si>
  <si>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</si>
  <si>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</si>
  <si>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</si>
  <si>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</si>
  <si>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</si>
  <si>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</si>
  <si>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</si>
  <si>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</si>
  <si>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</si>
  <si>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</si>
  <si>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</si>
  <si>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</si>
  <si>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</si>
  <si>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</si>
  <si>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</si>
  <si>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</si>
  <si>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</si>
  <si>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</si>
  <si>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</si>
  <si>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</si>
  <si>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</si>
  <si>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</si>
  <si>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</si>
  <si>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</si>
  <si>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</si>
  <si>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</si>
  <si>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</si>
  <si>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</si>
  <si>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</si>
  <si>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</si>
  <si>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</si>
  <si>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</si>
  <si>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</si>
  <si>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</si>
  <si>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</si>
  <si>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</si>
  <si>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</si>
  <si>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</si>
  <si>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</si>
  <si>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</si>
  <si>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</si>
  <si>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</si>
  <si>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</si>
  <si>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</si>
  <si>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</si>
  <si>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</si>
  <si>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</si>
  <si>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</si>
  <si>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</si>
  <si>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</si>
  <si>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</si>
  <si>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</si>
  <si>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</si>
  <si>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</si>
  <si>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</si>
  <si>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</si>
  <si>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</si>
  <si>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</si>
  <si>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</si>
  <si>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</si>
  <si>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</si>
  <si>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</si>
  <si>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</si>
  <si>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</si>
  <si>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</si>
  <si>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</si>
  <si>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</si>
  <si>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</si>
  <si>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</si>
  <si>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</si>
  <si>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</si>
  <si>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</si>
  <si>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</si>
  <si>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</si>
  <si>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</si>
  <si>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</si>
  <si>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</si>
  <si>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</si>
  <si>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</si>
  <si>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</si>
  <si>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</si>
  <si>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</si>
  <si>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</si>
  <si>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</si>
  <si>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</si>
  <si>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</si>
  <si>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</si>
  <si>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</si>
  <si>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</si>
  <si>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</si>
  <si>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</si>
  <si>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</si>
  <si>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</si>
  <si>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</si>
  <si>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</si>
  <si>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</si>
  <si>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</si>
  <si>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</si>
  <si>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</si>
  <si>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</si>
  <si>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</si>
  <si>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</si>
  <si>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</si>
  <si>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</si>
  <si>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</si>
  <si>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</si>
  <si>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</si>
  <si>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</si>
  <si>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</si>
  <si>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</si>
  <si>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</si>
  <si>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</si>
  <si>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</si>
  <si>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</si>
  <si>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</si>
  <si>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</si>
  <si>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</si>
  <si>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</si>
  <si>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</si>
  <si>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</si>
  <si>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</si>
  <si>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</si>
  <si>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</si>
  <si>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</si>
  <si>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</si>
  <si>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</si>
  <si>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</si>
  <si>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</si>
  <si>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</si>
  <si>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</si>
  <si>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</si>
  <si>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</si>
  <si>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</si>
  <si>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</si>
  <si>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</si>
  <si>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</si>
  <si>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</si>
  <si>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</si>
  <si>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</si>
  <si>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</si>
  <si>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</si>
  <si>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</si>
  <si>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</si>
  <si>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</si>
  <si>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</si>
  <si>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</si>
  <si>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</si>
  <si>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</si>
  <si>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</si>
  <si>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</si>
  <si>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</si>
  <si>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</si>
  <si>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</si>
  <si>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</si>
  <si>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</si>
  <si>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</si>
  <si>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</si>
  <si>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</si>
  <si>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</si>
  <si>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</si>
  <si>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</si>
  <si>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</si>
  <si>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</si>
  <si>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</si>
  <si>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</si>
  <si>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</si>
  <si>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</si>
  <si>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</si>
  <si>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</si>
  <si>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</si>
  <si>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</si>
  <si>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</si>
  <si>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</si>
  <si>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</si>
  <si>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</si>
  <si>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</si>
  <si>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</si>
  <si>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</si>
  <si>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</si>
  <si>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</si>
  <si>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</si>
  <si>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</si>
  <si>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</si>
  <si>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</si>
  <si>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</si>
  <si>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</si>
  <si>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</si>
  <si>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</si>
  <si>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</si>
  <si>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</si>
  <si>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</si>
  <si>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</si>
  <si>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</si>
  <si>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</si>
  <si>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</si>
  <si>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</si>
  <si>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</si>
  <si>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</si>
  <si>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</si>
  <si>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</si>
  <si>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</si>
  <si>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</si>
  <si>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</si>
  <si>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</si>
  <si>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</si>
  <si>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</si>
  <si>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</si>
  <si>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</si>
  <si>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</si>
  <si>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</si>
  <si>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</si>
  <si>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</si>
  <si>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</si>
  <si>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</si>
  <si>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</si>
  <si>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</si>
  <si>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</si>
  <si>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</si>
  <si>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</si>
  <si>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</si>
  <si>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</si>
  <si>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</si>
  <si>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</si>
  <si>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</si>
  <si>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</si>
  <si>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</si>
  <si>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</si>
  <si>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</si>
  <si>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</si>
  <si>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</si>
  <si>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</si>
  <si>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</si>
  <si>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</si>
  <si>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</si>
  <si>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</si>
  <si>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</si>
  <si>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</si>
  <si>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</si>
  <si>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</si>
  <si>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</si>
  <si>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</si>
  <si>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</si>
  <si>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</si>
  <si>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</si>
  <si>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</si>
  <si>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</si>
  <si>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</si>
  <si>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</si>
  <si>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</si>
  <si>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</si>
  <si>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</si>
  <si>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</si>
  <si>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</si>
  <si>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</si>
  <si>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</si>
  <si>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</si>
  <si>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</si>
  <si>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</si>
  <si>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</si>
  <si>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</si>
  <si>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</si>
  <si>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</si>
  <si>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</si>
  <si>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</si>
  <si>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</si>
  <si>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</si>
  <si>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</si>
  <si>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</si>
  <si>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</si>
  <si>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</si>
  <si>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</si>
  <si>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</si>
  <si>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</si>
  <si>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</si>
  <si>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</si>
  <si>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</si>
  <si>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</si>
  <si>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</si>
  <si>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</si>
  <si>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</si>
  <si>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</si>
  <si>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</si>
  <si>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</si>
  <si>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</si>
  <si>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</si>
  <si>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</si>
  <si>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</si>
  <si>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</si>
  <si>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</si>
  <si>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</si>
  <si>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</si>
  <si>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</si>
  <si>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</si>
  <si>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</si>
  <si>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</si>
  <si>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</si>
  <si>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</si>
  <si>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</si>
  <si>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</si>
  <si>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</si>
  <si>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</si>
  <si>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</si>
  <si>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</si>
  <si>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</si>
  <si>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</si>
  <si>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</si>
  <si>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</si>
  <si>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</si>
  <si>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</si>
  <si>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</si>
  <si>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</si>
  <si>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</si>
  <si>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</si>
  <si>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</si>
  <si>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</si>
  <si>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</si>
  <si>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</si>
  <si>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</si>
  <si>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</si>
  <si>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</si>
  <si>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</si>
  <si>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</si>
  <si>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</si>
  <si>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</si>
  <si>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</si>
  <si>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</si>
  <si>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</si>
  <si>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</si>
  <si>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</si>
  <si>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</si>
  <si>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</si>
  <si>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</si>
  <si>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</si>
  <si>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</si>
  <si>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</si>
  <si>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</si>
  <si>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</si>
  <si>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</si>
  <si>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</si>
  <si>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</si>
  <si>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</si>
  <si>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</si>
  <si>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</si>
  <si>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</si>
  <si>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</si>
  <si>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</si>
  <si>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</si>
  <si>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</si>
  <si>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</si>
  <si>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</si>
  <si>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</si>
  <si>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</si>
  <si>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</si>
  <si>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</si>
  <si>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</si>
  <si>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</si>
  <si>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</si>
  <si>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</si>
  <si>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</si>
  <si>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</si>
  <si>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</si>
  <si>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</si>
  <si>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</si>
  <si>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</si>
  <si>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</si>
  <si>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</si>
  <si>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</si>
  <si>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</si>
  <si>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</si>
  <si>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</si>
  <si>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</si>
  <si>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</si>
  <si>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</si>
  <si>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</si>
  <si>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</si>
  <si>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</si>
  <si>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</si>
  <si>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</si>
  <si>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</si>
  <si>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</si>
  <si>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</si>
  <si>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</si>
  <si>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</si>
  <si>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</si>
  <si>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</si>
  <si>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</si>
  <si>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</si>
  <si>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</si>
  <si>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</si>
  <si>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</si>
  <si>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</si>
  <si>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</si>
  <si>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</si>
  <si>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</si>
  <si>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</si>
  <si>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</si>
  <si>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</si>
  <si>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</si>
  <si>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</si>
  <si>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</si>
  <si>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</si>
  <si>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</si>
  <si>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</si>
  <si>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</si>
  <si>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</si>
  <si>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</si>
  <si>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</si>
  <si>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</si>
  <si>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</si>
  <si>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</si>
  <si>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</si>
  <si>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</si>
  <si>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</si>
  <si>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</si>
  <si>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</si>
  <si>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</si>
  <si>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</si>
  <si>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</si>
  <si>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</si>
  <si>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</si>
  <si>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</si>
  <si>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</si>
  <si>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</si>
  <si>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</si>
  <si>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</si>
  <si>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</si>
  <si>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</si>
  <si>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</si>
  <si>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</si>
  <si>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</si>
  <si>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</si>
  <si>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</si>
  <si>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</si>
  <si>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</si>
  <si>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</si>
  <si>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</si>
  <si>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</si>
  <si>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</si>
  <si>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</si>
  <si>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</si>
  <si>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</si>
  <si>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</si>
  <si>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</si>
  <si>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</si>
  <si>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</si>
  <si>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</si>
  <si>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</si>
  <si>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</si>
  <si>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</si>
  <si>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</si>
  <si>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</si>
  <si>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</si>
  <si>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</si>
  <si>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</si>
  <si>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</si>
  <si>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</si>
  <si>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</si>
  <si>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</si>
  <si>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</si>
  <si>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</si>
  <si>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</si>
  <si>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</si>
  <si>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</si>
  <si>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</si>
  <si>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</si>
  <si>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</si>
  <si>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</si>
  <si>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</si>
  <si>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</si>
  <si>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</si>
  <si>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</si>
  <si>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</si>
  <si>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</si>
  <si>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</si>
  <si>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</si>
  <si>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</si>
  <si>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</si>
  <si>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</si>
  <si>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</si>
  <si>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</si>
  <si>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</si>
  <si>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</si>
  <si>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</si>
  <si>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</si>
  <si>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</si>
  <si>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</si>
  <si>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</si>
  <si>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</si>
  <si>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</si>
  <si>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</si>
  <si>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</si>
  <si>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ХипоKредит АД</t>
  </si>
  <si>
    <t xml:space="preserve">Забележка: Да се посочи метода на осчетоводяване на инвестициите - </t>
  </si>
  <si>
    <t>1174/6;1174/7</t>
  </si>
  <si>
    <t>Дата на съставяне: 27.02.2017</t>
  </si>
  <si>
    <t xml:space="preserve">Дата  на съставяне: 27.02.2017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</si>
</sst>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28">
      <selection activeCell="K38" sqref="K38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3.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3.5">
      <c r="A2" s="215"/>
      <c r="B2" s="215"/>
      <c r="C2" s="216"/>
      <c r="D2" s="216"/>
      <c r="E2" s="216"/>
      <c r="F2" s="170"/>
      <c r="G2" s="171"/>
      <c r="H2" s="172"/>
    </row>
    <row r="3" spans="1:8" ht="13.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131241783</v>
      </c>
    </row>
    <row r="4" spans="1:8" ht="13.5">
      <c r="A4" s="576" t="s">
        <v>3</v>
      </c>
      <c r="B4" s="582"/>
      <c r="C4" s="582"/>
      <c r="D4" s="582"/>
      <c r="E4" s="504" t="s">
        <v>864</v>
      </c>
      <c r="F4" s="578" t="s">
        <v>4</v>
      </c>
      <c r="G4" s="579"/>
      <c r="H4" s="461" t="s">
        <v>867</v>
      </c>
    </row>
    <row r="5" spans="1:8" ht="13.5">
      <c r="A5" s="576" t="s">
        <v>5</v>
      </c>
      <c r="B5" s="577"/>
      <c r="C5" s="577"/>
      <c r="D5" s="577"/>
      <c r="E5" s="505">
        <v>42735</v>
      </c>
      <c r="F5" s="170"/>
      <c r="G5" s="171"/>
      <c r="H5" s="219" t="s">
        <v>6</v>
      </c>
    </row>
    <row r="6" spans="1:8" ht="14.25" thickBot="1">
      <c r="A6" s="150"/>
      <c r="B6" s="150"/>
      <c r="C6" s="218"/>
      <c r="D6" s="219"/>
      <c r="E6" s="219"/>
      <c r="F6" s="170"/>
      <c r="G6" s="171"/>
      <c r="H6" s="219"/>
    </row>
    <row r="7" spans="1:8" ht="27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3.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3.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3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3.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3.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3.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3.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3.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3.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6.2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4.2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3.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3.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3.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873</v>
      </c>
      <c r="H21" s="156">
        <f>SUM(H22:H24)</f>
        <v>873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3.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873</v>
      </c>
      <c r="H22" s="152">
        <v>873</v>
      </c>
    </row>
    <row r="23" spans="1:13" ht="13.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3.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3.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873</v>
      </c>
      <c r="H25" s="154">
        <f>H19+H20+H21</f>
        <v>873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4.2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3.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-1276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3.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3.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-1276</v>
      </c>
      <c r="H29" s="316"/>
      <c r="M29" s="157"/>
    </row>
    <row r="30" spans="1:8" ht="13.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3.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3.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-583</v>
      </c>
      <c r="H32" s="316">
        <v>-1276</v>
      </c>
      <c r="I32" s="290"/>
      <c r="J32" s="290"/>
      <c r="K32" s="290"/>
      <c r="L32" s="290"/>
      <c r="M32" s="290"/>
      <c r="N32" s="290"/>
      <c r="O32" s="290"/>
    </row>
    <row r="33" spans="1:18" ht="13.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-1859</v>
      </c>
      <c r="H33" s="154">
        <f>H27+H31+H32</f>
        <v>-1276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3.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3.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3.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6014</v>
      </c>
      <c r="H36" s="154">
        <f>H25+H17+H33</f>
        <v>6597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3.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3.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3.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3.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3.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3.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3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2262</v>
      </c>
      <c r="H43" s="152">
        <v>2262</v>
      </c>
      <c r="M43" s="157"/>
    </row>
    <row r="44" spans="1:8" ht="13.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3.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3.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3.5">
      <c r="A47" s="235" t="s">
        <v>143</v>
      </c>
      <c r="B47" s="241" t="s">
        <v>144</v>
      </c>
      <c r="C47" s="151">
        <v>3303</v>
      </c>
      <c r="D47" s="151"/>
      <c r="E47" s="251" t="s">
        <v>145</v>
      </c>
      <c r="F47" s="242" t="s">
        <v>146</v>
      </c>
      <c r="G47" s="152">
        <v>19589</v>
      </c>
      <c r="H47" s="152">
        <v>20384</v>
      </c>
      <c r="M47" s="157"/>
    </row>
    <row r="48" spans="1:8" ht="13.5">
      <c r="A48" s="235" t="s">
        <v>147</v>
      </c>
      <c r="B48" s="244" t="s">
        <v>148</v>
      </c>
      <c r="C48" s="151">
        <f>9645+26</f>
        <v>9671</v>
      </c>
      <c r="D48" s="151">
        <v>14278</v>
      </c>
      <c r="E48" s="237" t="s">
        <v>149</v>
      </c>
      <c r="F48" s="242" t="s">
        <v>150</v>
      </c>
      <c r="G48" s="152"/>
      <c r="H48" s="152"/>
    </row>
    <row r="49" spans="1:18" ht="13.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21851</v>
      </c>
      <c r="H49" s="154">
        <f>SUM(H43:H48)</f>
        <v>22646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3.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3.5">
      <c r="A51" s="235" t="s">
        <v>155</v>
      </c>
      <c r="B51" s="249" t="s">
        <v>156</v>
      </c>
      <c r="C51" s="155">
        <f>SUM(C47:C50)</f>
        <v>12974</v>
      </c>
      <c r="D51" s="155">
        <f>SUM(D47:D50)</f>
        <v>14278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3.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3.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3.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6.25">
      <c r="A55" s="269" t="s">
        <v>170</v>
      </c>
      <c r="B55" s="270" t="s">
        <v>171</v>
      </c>
      <c r="C55" s="155">
        <f>C19+C20+C21+C27+C32+C45+C51+C53+C54</f>
        <v>12974</v>
      </c>
      <c r="D55" s="155">
        <f>D19+D20+D21+D27+D32+D45+D51+D53+D54</f>
        <v>14278</v>
      </c>
      <c r="E55" s="237" t="s">
        <v>172</v>
      </c>
      <c r="F55" s="261" t="s">
        <v>173</v>
      </c>
      <c r="G55" s="154">
        <f>G49+G51+G52+G53+G54</f>
        <v>21851</v>
      </c>
      <c r="H55" s="154">
        <f>H49+H51+H52+H53+H54</f>
        <v>22646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3.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3.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3.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3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3.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3.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131</v>
      </c>
      <c r="H61" s="154">
        <f>SUM(H62:H68)</f>
        <v>135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3.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117</v>
      </c>
      <c r="H62" s="152">
        <v>84</v>
      </c>
    </row>
    <row r="63" spans="1:13" ht="13.5">
      <c r="A63" s="235" t="s">
        <v>195</v>
      </c>
      <c r="B63" s="241" t="s">
        <v>196</v>
      </c>
      <c r="C63" s="151">
        <v>6425</v>
      </c>
      <c r="D63" s="151">
        <v>5597</v>
      </c>
      <c r="E63" s="237" t="s">
        <v>197</v>
      </c>
      <c r="F63" s="242" t="s">
        <v>198</v>
      </c>
      <c r="G63" s="152"/>
      <c r="H63" s="152"/>
      <c r="M63" s="157"/>
    </row>
    <row r="64" spans="1:15" ht="13.5">
      <c r="A64" s="235" t="s">
        <v>51</v>
      </c>
      <c r="B64" s="249" t="s">
        <v>199</v>
      </c>
      <c r="C64" s="155">
        <f>SUM(C58:C63)</f>
        <v>6425</v>
      </c>
      <c r="D64" s="155">
        <f>SUM(D58:D63)</f>
        <v>5597</v>
      </c>
      <c r="E64" s="237" t="s">
        <v>200</v>
      </c>
      <c r="F64" s="242" t="s">
        <v>201</v>
      </c>
      <c r="G64" s="152">
        <v>14</v>
      </c>
      <c r="H64" s="152">
        <v>13</v>
      </c>
      <c r="I64" s="290"/>
      <c r="J64" s="290"/>
      <c r="K64" s="290"/>
      <c r="L64" s="290"/>
      <c r="M64" s="290"/>
      <c r="N64" s="290"/>
      <c r="O64" s="290"/>
    </row>
    <row r="65" spans="1:8" ht="13.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29</v>
      </c>
    </row>
    <row r="66" spans="1:8" ht="13.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3.5">
      <c r="A67" s="235" t="s">
        <v>207</v>
      </c>
      <c r="B67" s="241" t="s">
        <v>208</v>
      </c>
      <c r="C67" s="151">
        <f>1051+120</f>
        <v>1171</v>
      </c>
      <c r="D67" s="151"/>
      <c r="E67" s="237" t="s">
        <v>209</v>
      </c>
      <c r="F67" s="242" t="s">
        <v>210</v>
      </c>
      <c r="G67" s="152"/>
      <c r="H67" s="152"/>
    </row>
    <row r="68" spans="1:8" ht="13.5">
      <c r="A68" s="235" t="s">
        <v>211</v>
      </c>
      <c r="B68" s="241" t="s">
        <v>212</v>
      </c>
      <c r="C68" s="151">
        <v>2</v>
      </c>
      <c r="D68" s="151"/>
      <c r="E68" s="237" t="s">
        <v>213</v>
      </c>
      <c r="F68" s="242" t="s">
        <v>214</v>
      </c>
      <c r="G68" s="152"/>
      <c r="H68" s="152">
        <v>9</v>
      </c>
    </row>
    <row r="69" spans="1:8" ht="13.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488</v>
      </c>
      <c r="H69" s="152">
        <v>76</v>
      </c>
    </row>
    <row r="70" spans="1:8" ht="13.5">
      <c r="A70" s="235" t="s">
        <v>218</v>
      </c>
      <c r="B70" s="241" t="s">
        <v>219</v>
      </c>
      <c r="C70" s="151">
        <v>944</v>
      </c>
      <c r="D70" s="151">
        <v>1762</v>
      </c>
      <c r="E70" s="237" t="s">
        <v>220</v>
      </c>
      <c r="F70" s="242" t="s">
        <v>221</v>
      </c>
      <c r="G70" s="152"/>
      <c r="H70" s="152"/>
    </row>
    <row r="71" spans="1:18" ht="13.5">
      <c r="A71" s="235" t="s">
        <v>222</v>
      </c>
      <c r="B71" s="241" t="s">
        <v>223</v>
      </c>
      <c r="C71" s="151">
        <f>6428-26</f>
        <v>6402</v>
      </c>
      <c r="D71" s="151">
        <v>7362</v>
      </c>
      <c r="E71" s="253" t="s">
        <v>46</v>
      </c>
      <c r="F71" s="273" t="s">
        <v>224</v>
      </c>
      <c r="G71" s="161">
        <f>G59+G60+G61+G69+G70</f>
        <v>619</v>
      </c>
      <c r="H71" s="161">
        <f>H59+H60+H61+H69+H70</f>
        <v>211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3.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3.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3.5">
      <c r="A74" s="235" t="s">
        <v>229</v>
      </c>
      <c r="B74" s="241" t="s">
        <v>230</v>
      </c>
      <c r="C74" s="151">
        <v>5</v>
      </c>
      <c r="D74" s="151">
        <v>5</v>
      </c>
      <c r="E74" s="237" t="s">
        <v>231</v>
      </c>
      <c r="F74" s="280" t="s">
        <v>232</v>
      </c>
      <c r="G74" s="152"/>
      <c r="H74" s="152"/>
    </row>
    <row r="75" spans="1:15" ht="13.5">
      <c r="A75" s="235" t="s">
        <v>76</v>
      </c>
      <c r="B75" s="249" t="s">
        <v>233</v>
      </c>
      <c r="C75" s="155">
        <f>SUM(C67:C74)</f>
        <v>8524</v>
      </c>
      <c r="D75" s="155">
        <f>SUM(D67:D74)</f>
        <v>9129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3.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3.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3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3.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619</v>
      </c>
      <c r="H79" s="162">
        <f>H71+H74+H75+H76</f>
        <v>211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3.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3.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3.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3.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3.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3.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3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3.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3.5">
      <c r="A88" s="235" t="s">
        <v>256</v>
      </c>
      <c r="B88" s="241" t="s">
        <v>257</v>
      </c>
      <c r="C88" s="151">
        <v>560</v>
      </c>
      <c r="D88" s="151">
        <v>449</v>
      </c>
      <c r="E88" s="263"/>
      <c r="F88" s="285"/>
      <c r="G88" s="285"/>
      <c r="H88" s="286"/>
    </row>
    <row r="89" spans="1:13" ht="13.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3.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3.5">
      <c r="A91" s="235" t="s">
        <v>262</v>
      </c>
      <c r="B91" s="249" t="s">
        <v>263</v>
      </c>
      <c r="C91" s="155">
        <f>SUM(C87:C90)</f>
        <v>560</v>
      </c>
      <c r="D91" s="155">
        <f>SUM(D87:D90)</f>
        <v>449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3.5">
      <c r="A92" s="235" t="s">
        <v>264</v>
      </c>
      <c r="B92" s="249" t="s">
        <v>265</v>
      </c>
      <c r="C92" s="151">
        <v>1</v>
      </c>
      <c r="D92" s="151">
        <v>1</v>
      </c>
      <c r="E92" s="263"/>
      <c r="F92" s="285"/>
      <c r="G92" s="285"/>
      <c r="H92" s="286"/>
    </row>
    <row r="93" spans="1:14" ht="13.5">
      <c r="A93" s="235" t="s">
        <v>266</v>
      </c>
      <c r="B93" s="287" t="s">
        <v>267</v>
      </c>
      <c r="C93" s="155">
        <f>C64+C75+C84+C91+C92</f>
        <v>15510</v>
      </c>
      <c r="D93" s="155">
        <f>D64+D75+D84+D91+D92</f>
        <v>15176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7" thickBot="1">
      <c r="A94" s="448" t="s">
        <v>268</v>
      </c>
      <c r="B94" s="288" t="s">
        <v>269</v>
      </c>
      <c r="C94" s="164">
        <f>C93+C55</f>
        <v>28484</v>
      </c>
      <c r="D94" s="164">
        <f>D93+D55</f>
        <v>29454</v>
      </c>
      <c r="E94" s="449" t="s">
        <v>270</v>
      </c>
      <c r="F94" s="289" t="s">
        <v>271</v>
      </c>
      <c r="G94" s="165">
        <f>G36+G39+G55+G79</f>
        <v>28484</v>
      </c>
      <c r="H94" s="165">
        <f>H36+H39+H55+H79</f>
        <v>29454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3.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3.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3.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3.5">
      <c r="A98" s="45" t="s">
        <v>868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3.5">
      <c r="C99" s="45"/>
      <c r="D99" s="1"/>
      <c r="E99" s="45"/>
      <c r="F99" s="170"/>
      <c r="G99" s="171"/>
      <c r="H99" s="172"/>
    </row>
    <row r="100" spans="1:5" ht="13.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600" verticalDpi="6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9">
      <selection activeCell="B49" sqref="B49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3.5">
      <c r="A2" s="467" t="s">
        <v>1</v>
      </c>
      <c r="B2" s="585" t="str">
        <f>'справка №1-БАЛАНС'!E3</f>
        <v>ХипоKредит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13.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1174/6;1174/7</v>
      </c>
    </row>
    <row r="4" spans="1:8" ht="17.25" customHeight="1">
      <c r="A4" s="467" t="s">
        <v>5</v>
      </c>
      <c r="B4" s="586">
        <f>'справка №1-БАЛАНС'!E5</f>
        <v>42735</v>
      </c>
      <c r="C4" s="586"/>
      <c r="D4" s="586"/>
      <c r="E4" s="314"/>
      <c r="F4" s="466"/>
      <c r="G4" s="544"/>
      <c r="H4" s="547" t="s">
        <v>276</v>
      </c>
    </row>
    <row r="5" spans="1:8" ht="22.5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5</v>
      </c>
      <c r="D9" s="46">
        <v>5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172</v>
      </c>
      <c r="D10" s="46">
        <v>184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18</v>
      </c>
      <c r="H11" s="550">
        <v>21</v>
      </c>
    </row>
    <row r="12" spans="1:8" ht="12">
      <c r="A12" s="298" t="s">
        <v>295</v>
      </c>
      <c r="B12" s="299" t="s">
        <v>296</v>
      </c>
      <c r="C12" s="46">
        <v>245</v>
      </c>
      <c r="D12" s="46">
        <v>179</v>
      </c>
      <c r="E12" s="300" t="s">
        <v>78</v>
      </c>
      <c r="F12" s="549" t="s">
        <v>297</v>
      </c>
      <c r="G12" s="550">
        <v>93</v>
      </c>
      <c r="H12" s="550">
        <v>323</v>
      </c>
    </row>
    <row r="13" spans="1:18" ht="12">
      <c r="A13" s="298" t="s">
        <v>298</v>
      </c>
      <c r="B13" s="299" t="s">
        <v>299</v>
      </c>
      <c r="C13" s="46">
        <v>24</v>
      </c>
      <c r="D13" s="46">
        <v>21</v>
      </c>
      <c r="E13" s="301" t="s">
        <v>51</v>
      </c>
      <c r="F13" s="551" t="s">
        <v>300</v>
      </c>
      <c r="G13" s="548">
        <f>SUM(G9:G12)</f>
        <v>111</v>
      </c>
      <c r="H13" s="548">
        <f>SUM(H9:H12)</f>
        <v>344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96</v>
      </c>
      <c r="D14" s="46">
        <v>242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6</v>
      </c>
      <c r="D16" s="47">
        <v>5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548</v>
      </c>
      <c r="D19" s="49">
        <f>SUM(D9:D15)+D16</f>
        <v>636</v>
      </c>
      <c r="E19" s="304" t="s">
        <v>317</v>
      </c>
      <c r="F19" s="552" t="s">
        <v>318</v>
      </c>
      <c r="G19" s="550">
        <v>1029</v>
      </c>
      <c r="H19" s="550">
        <v>687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397</v>
      </c>
      <c r="H21" s="550"/>
    </row>
    <row r="22" spans="1:8" ht="24">
      <c r="A22" s="304" t="s">
        <v>324</v>
      </c>
      <c r="B22" s="305" t="s">
        <v>325</v>
      </c>
      <c r="C22" s="46">
        <v>1201</v>
      </c>
      <c r="D22" s="46">
        <v>1541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41</v>
      </c>
      <c r="H23" s="550">
        <v>113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1467</v>
      </c>
      <c r="H24" s="548">
        <f>SUM(H19:H23)</f>
        <v>800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412</v>
      </c>
      <c r="D25" s="46">
        <v>243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1613</v>
      </c>
      <c r="D26" s="49">
        <f>SUM(D22:D25)</f>
        <v>1784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2161</v>
      </c>
      <c r="D28" s="50">
        <f>D26+D19</f>
        <v>2420</v>
      </c>
      <c r="E28" s="127" t="s">
        <v>339</v>
      </c>
      <c r="F28" s="554" t="s">
        <v>340</v>
      </c>
      <c r="G28" s="548">
        <f>G13+G15+G24</f>
        <v>1578</v>
      </c>
      <c r="H28" s="548">
        <f>H13+H15+H24</f>
        <v>1144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583</v>
      </c>
      <c r="H30" s="53">
        <f>IF((D28-H28)&gt;0,D28-H28,0)</f>
        <v>1276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2161</v>
      </c>
      <c r="D33" s="49">
        <f>D28+D31+D32</f>
        <v>2420</v>
      </c>
      <c r="E33" s="127" t="s">
        <v>353</v>
      </c>
      <c r="F33" s="554" t="s">
        <v>354</v>
      </c>
      <c r="G33" s="53">
        <f>G32+G31+G28</f>
        <v>1578</v>
      </c>
      <c r="H33" s="53">
        <f>H32+H31+H28</f>
        <v>1144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583</v>
      </c>
      <c r="H34" s="548">
        <f>IF((D33-H33)&gt;0,D33-H33,0)</f>
        <v>1276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583</v>
      </c>
      <c r="H39" s="559">
        <f>IF(H34&gt;0,IF(D35+H34&lt;0,0,D35+H34),IF(D34-D35&lt;0,D35-D34,0))</f>
        <v>1276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583</v>
      </c>
      <c r="H41" s="52">
        <f>IF(D39=0,IF(H39-H40&gt;0,H39-H40+D40,0),IF(D39-D40&lt;0,D40-D39+H40,0))</f>
        <v>1276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2161</v>
      </c>
      <c r="D42" s="53">
        <f>D33+D35+D39</f>
        <v>2420</v>
      </c>
      <c r="E42" s="128" t="s">
        <v>380</v>
      </c>
      <c r="F42" s="129" t="s">
        <v>381</v>
      </c>
      <c r="G42" s="53">
        <f>G39+G33</f>
        <v>2161</v>
      </c>
      <c r="H42" s="53">
        <f>H39+H33</f>
        <v>2420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42793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33">
      <selection activeCell="A50" sqref="A50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ХипоKредит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3.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1174/6;1174/7</v>
      </c>
    </row>
    <row r="6" spans="1:6" ht="12" customHeight="1">
      <c r="A6" s="471" t="s">
        <v>5</v>
      </c>
      <c r="B6" s="506">
        <f>'справка №1-БАЛАНС'!E5</f>
        <v>42735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75</v>
      </c>
      <c r="D10" s="54">
        <f>170+256</f>
        <v>426</v>
      </c>
      <c r="E10" s="130"/>
      <c r="F10" s="130"/>
    </row>
    <row r="11" spans="1:13" ht="12">
      <c r="A11" s="332" t="s">
        <v>389</v>
      </c>
      <c r="B11" s="333" t="s">
        <v>390</v>
      </c>
      <c r="C11" s="54">
        <f>-709-120</f>
        <v>-829</v>
      </c>
      <c r="D11" s="54">
        <f>-142-40</f>
        <v>-182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-278</v>
      </c>
      <c r="D13" s="54">
        <f>-138-68</f>
        <v>-206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-36</v>
      </c>
      <c r="D14" s="54">
        <f>-31-1</f>
        <v>-32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-32</v>
      </c>
      <c r="D19" s="54">
        <v>-429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-1100</v>
      </c>
      <c r="D20" s="55">
        <f>SUM(D10:D19)</f>
        <v>-423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1298</v>
      </c>
      <c r="D25" s="54">
        <v>1409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1076</v>
      </c>
      <c r="D26" s="54">
        <v>686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2374</v>
      </c>
      <c r="D32" s="55">
        <f>SUM(D22:D31)</f>
        <v>2095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-397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-766</v>
      </c>
      <c r="D39" s="54">
        <f>-1157-384</f>
        <v>-1541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-1163</v>
      </c>
      <c r="D42" s="55">
        <f>SUM(D34:D41)</f>
        <v>-1541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111</v>
      </c>
      <c r="D43" s="55">
        <f>D42+D32+D20</f>
        <v>131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449</v>
      </c>
      <c r="D44" s="132">
        <v>318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560</v>
      </c>
      <c r="D45" s="55">
        <f>D44+D43</f>
        <v>449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560</v>
      </c>
      <c r="D46" s="56">
        <v>449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1">
      <selection activeCell="A39" sqref="A39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ХипоKредит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1174/6;1174/7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42735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57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873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-1276</v>
      </c>
      <c r="K11" s="60"/>
      <c r="L11" s="344">
        <f>SUM(C11:K11)</f>
        <v>6597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873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-1276</v>
      </c>
      <c r="K15" s="61">
        <f t="shared" si="2"/>
        <v>0</v>
      </c>
      <c r="L15" s="344">
        <f t="shared" si="1"/>
        <v>6597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-583</v>
      </c>
      <c r="K16" s="60"/>
      <c r="L16" s="344">
        <f t="shared" si="1"/>
        <v>-583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873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-1859</v>
      </c>
      <c r="K29" s="59">
        <f t="shared" si="6"/>
        <v>0</v>
      </c>
      <c r="L29" s="344">
        <f t="shared" si="1"/>
        <v>6014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873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-1859</v>
      </c>
      <c r="K32" s="59">
        <f t="shared" si="7"/>
        <v>0</v>
      </c>
      <c r="L32" s="344">
        <f t="shared" si="1"/>
        <v>6014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8">
      <selection activeCell="B45" sqref="B45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ХипоKредит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3.5">
      <c r="A3" s="597" t="s">
        <v>5</v>
      </c>
      <c r="B3" s="598"/>
      <c r="C3" s="600">
        <f>'справка №1-БАЛАНС'!E5</f>
        <v>42735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1174/6;1174/7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5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1.25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</v>
      </c>
      <c r="E11" s="189"/>
      <c r="F11" s="189"/>
      <c r="G11" s="74">
        <f t="shared" si="2"/>
        <v>1</v>
      </c>
      <c r="H11" s="65"/>
      <c r="I11" s="65"/>
      <c r="J11" s="74">
        <f t="shared" si="3"/>
        <v>1</v>
      </c>
      <c r="K11" s="65">
        <v>1</v>
      </c>
      <c r="L11" s="65"/>
      <c r="M11" s="65"/>
      <c r="N11" s="74">
        <f t="shared" si="4"/>
        <v>1</v>
      </c>
      <c r="O11" s="65"/>
      <c r="P11" s="65"/>
      <c r="Q11" s="74">
        <f t="shared" si="0"/>
        <v>1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</v>
      </c>
      <c r="E17" s="194">
        <f>SUM(E9:E16)</f>
        <v>0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1</v>
      </c>
      <c r="L17" s="75">
        <f>SUM(L9:L16)</f>
        <v>0</v>
      </c>
      <c r="M17" s="75">
        <f>SUM(M9:M16)</f>
        <v>0</v>
      </c>
      <c r="N17" s="74">
        <f t="shared" si="4"/>
        <v>1</v>
      </c>
      <c r="O17" s="75">
        <f>SUM(O9:O16)</f>
        <v>0</v>
      </c>
      <c r="P17" s="75">
        <f>SUM(P9:P16)</f>
        <v>0</v>
      </c>
      <c r="Q17" s="74">
        <f t="shared" si="5"/>
        <v>1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</v>
      </c>
      <c r="H40" s="438">
        <f t="shared" si="13"/>
        <v>0</v>
      </c>
      <c r="I40" s="438">
        <f t="shared" si="13"/>
        <v>0</v>
      </c>
      <c r="J40" s="438">
        <f t="shared" si="13"/>
        <v>1</v>
      </c>
      <c r="K40" s="438">
        <f t="shared" si="13"/>
        <v>1</v>
      </c>
      <c r="L40" s="438">
        <f t="shared" si="13"/>
        <v>0</v>
      </c>
      <c r="M40" s="438">
        <f t="shared" si="13"/>
        <v>0</v>
      </c>
      <c r="N40" s="438">
        <f t="shared" si="13"/>
        <v>1</v>
      </c>
      <c r="O40" s="438">
        <f t="shared" si="13"/>
        <v>0</v>
      </c>
      <c r="P40" s="438">
        <f t="shared" si="13"/>
        <v>0</v>
      </c>
      <c r="Q40" s="438">
        <f t="shared" si="13"/>
        <v>1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5">
      <selection activeCell="F64" sqref="F64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ХипоKредит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17">
        <f>'справка №1-БАЛАНС'!E5</f>
        <v>42735</v>
      </c>
      <c r="C4" s="618"/>
      <c r="D4" s="527" t="s">
        <v>4</v>
      </c>
      <c r="E4" s="107" t="str">
        <f>'справка №1-БАЛАНС'!H4</f>
        <v>1174/6;1174/7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1.25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25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2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3303</v>
      </c>
      <c r="D11" s="119">
        <f>SUM(D12:D14)</f>
        <v>1364</v>
      </c>
      <c r="E11" s="120">
        <f>SUM(E12:E14)</f>
        <v>1939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3303</v>
      </c>
      <c r="D12" s="108">
        <v>1364</v>
      </c>
      <c r="E12" s="120">
        <f aca="true" t="shared" si="0" ref="E12:E42">C12-D12</f>
        <v>1939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f>9645+26</f>
        <v>9671</v>
      </c>
      <c r="D15" s="108">
        <f>5208+26</f>
        <v>5234</v>
      </c>
      <c r="E15" s="120">
        <f t="shared" si="0"/>
        <v>4437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12974</v>
      </c>
      <c r="D19" s="104">
        <f>D11+D15+D16</f>
        <v>6598</v>
      </c>
      <c r="E19" s="118">
        <f>E11+E15+E16</f>
        <v>6376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1171</v>
      </c>
      <c r="D24" s="119">
        <f>SUM(D25:D27)</f>
        <v>1171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1051</v>
      </c>
      <c r="D25" s="108">
        <v>1051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120</v>
      </c>
      <c r="D27" s="108">
        <v>120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</v>
      </c>
      <c r="D28" s="108">
        <v>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944</v>
      </c>
      <c r="D30" s="108">
        <v>944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f>6428-26</f>
        <v>6402</v>
      </c>
      <c r="D32" s="108">
        <f>6428-26</f>
        <v>6402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5</v>
      </c>
      <c r="D38" s="105">
        <f>SUM(D39:D42)</f>
        <v>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5</v>
      </c>
      <c r="D42" s="108">
        <v>5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8524</v>
      </c>
      <c r="D43" s="104">
        <f>D24+D28+D29+D31+D30+D32+D33+D38</f>
        <v>8524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21498</v>
      </c>
      <c r="D44" s="103">
        <f>D43+D21+D19+D9</f>
        <v>15122</v>
      </c>
      <c r="E44" s="118">
        <f>E43+E21+E19+E9</f>
        <v>6376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2.5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1.25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1.2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12">
      <c r="A52" s="396" t="s">
        <v>688</v>
      </c>
      <c r="B52" s="397" t="s">
        <v>689</v>
      </c>
      <c r="C52" s="103">
        <f>SUM(C53:C55)</f>
        <v>2262</v>
      </c>
      <c r="D52" s="103">
        <f>SUM(D53:D55)</f>
        <v>0</v>
      </c>
      <c r="E52" s="119">
        <f>C52-D52</f>
        <v>2262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2262</v>
      </c>
      <c r="D53" s="108"/>
      <c r="E53" s="119">
        <f>C53-D53</f>
        <v>2262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19589</v>
      </c>
      <c r="D63" s="108"/>
      <c r="E63" s="119">
        <f t="shared" si="1"/>
        <v>19589</v>
      </c>
      <c r="F63" s="110">
        <v>19148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21851</v>
      </c>
      <c r="D66" s="103">
        <f>D52+D56+D61+D62+D63+D64</f>
        <v>0</v>
      </c>
      <c r="E66" s="119">
        <f t="shared" si="1"/>
        <v>21851</v>
      </c>
      <c r="F66" s="103">
        <f>F52+F56+F61+F62+F63+F64</f>
        <v>19148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12">
      <c r="A71" s="396" t="s">
        <v>688</v>
      </c>
      <c r="B71" s="397" t="s">
        <v>718</v>
      </c>
      <c r="C71" s="105">
        <f>SUM(C72:C74)</f>
        <v>117</v>
      </c>
      <c r="D71" s="105">
        <f>SUM(D72:D74)</f>
        <v>117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117</v>
      </c>
      <c r="D74" s="108">
        <v>117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463</v>
      </c>
      <c r="D80" s="103">
        <f>SUM(D81:D84)</f>
        <v>463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463</v>
      </c>
      <c r="D82" s="108">
        <v>463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14</v>
      </c>
      <c r="D85" s="104">
        <f>SUM(D86:D90)+D94</f>
        <v>14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14</v>
      </c>
      <c r="D87" s="108">
        <v>14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25</v>
      </c>
      <c r="D95" s="108">
        <v>25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619</v>
      </c>
      <c r="D96" s="104">
        <f>D85+D80+D75+D71+D95</f>
        <v>619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22470</v>
      </c>
      <c r="D97" s="104">
        <f>D96+D68+D66</f>
        <v>619</v>
      </c>
      <c r="E97" s="104">
        <f>E96+E68+E66</f>
        <v>21851</v>
      </c>
      <c r="F97" s="104">
        <f>F96+F68+F66</f>
        <v>19148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2.5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1.2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">
      <selection activeCell="A31" sqref="A31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ХипоKредит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3.5">
      <c r="A5" s="501" t="s">
        <v>5</v>
      </c>
      <c r="B5" s="622">
        <f>'справка №1-БАЛАНС'!E5</f>
        <v>42735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1174/6;1174/7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1.25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3.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42">
      <selection activeCell="A152" sqref="A152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ХипоKредит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42735</v>
      </c>
      <c r="C6" s="629"/>
      <c r="D6" s="510"/>
      <c r="E6" s="569" t="s">
        <v>4</v>
      </c>
      <c r="F6" s="511" t="str">
        <f>'справка №1-БАЛАНС'!H4</f>
        <v>1174/6;1174/7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2.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m.boteva</cp:lastModifiedBy>
  <cp:lastPrinted>2017-03-31T07:36:11Z</cp:lastPrinted>
  <dcterms:created xsi:type="dcterms:W3CDTF">2000-06-29T12:02:40Z</dcterms:created>
  <dcterms:modified xsi:type="dcterms:W3CDTF">2017-03-31T07:36:15Z</dcterms:modified>
  <cp:category/>
  <cp:version/>
  <cp:contentType/>
  <cp:contentStatus/>
</cp:coreProperties>
</file>