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937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<sst xmlns="http://schemas.openxmlformats.org/spreadsheetml/2006/main" count="1061" uniqueCount="875">
  <si>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</si>
  <si>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</si>
  <si>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</si>
  <si>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</si>
  <si>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</si>
  <si>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</si>
  <si>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</si>
  <si>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</si>
  <si>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</si>
  <si>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</si>
  <si>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</si>
  <si>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</si>
  <si>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</si>
  <si>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</si>
  <si>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</si>
  <si>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</si>
  <si>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</si>
  <si>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</si>
  <si>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</si>
  <si>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</si>
  <si>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</si>
  <si>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</si>
  <si>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</si>
  <si>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</si>
  <si>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</si>
  <si>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</si>
  <si>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</si>
  <si>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</si>
  <si>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</si>
  <si>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</si>
  <si>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</si>
  <si>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</si>
  <si>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</si>
  <si>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</si>
  <si>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</si>
  <si>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</si>
  <si>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</si>
  <si>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</si>
  <si>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</si>
  <si>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</si>
  <si>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</si>
  <si>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</si>
  <si>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</si>
  <si>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</si>
  <si>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</si>
  <si>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</si>
  <si>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</si>
  <si>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</si>
  <si>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</si>
  <si>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</si>
  <si>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</si>
  <si>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</si>
  <si>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</si>
  <si>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</si>
  <si>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</si>
  <si>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</si>
  <si>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</si>
  <si>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</si>
  <si>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</si>
  <si>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</si>
  <si>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</si>
  <si>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</si>
  <si>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</si>
  <si>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</si>
  <si>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</si>
  <si>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</si>
  <si>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</si>
  <si>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</si>
  <si>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</si>
  <si>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</si>
  <si>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</si>
  <si>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</si>
  <si>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</si>
  <si>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</si>
  <si>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</si>
  <si>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</si>
  <si>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</si>
  <si>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</si>
  <si>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</si>
  <si>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</si>
  <si>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</si>
  <si>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</si>
  <si>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</si>
  <si>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</si>
  <si>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</si>
  <si>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</si>
  <si>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</si>
  <si>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</si>
  <si>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</si>
  <si>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</si>
  <si>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</si>
  <si>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</si>
  <si>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</si>
  <si>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</si>
  <si>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</si>
  <si>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</si>
  <si>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</si>
  <si>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</si>
  <si>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</si>
  <si>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</si>
  <si>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</si>
  <si>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</si>
  <si>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</si>
  <si>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</si>
  <si>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</si>
  <si>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</si>
  <si>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</si>
  <si>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</si>
  <si>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</si>
  <si>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</si>
  <si>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</si>
  <si>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</si>
  <si>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</si>
  <si>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</si>
  <si>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</si>
  <si>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</si>
  <si>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</si>
  <si>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</si>
  <si>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</si>
  <si>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</si>
  <si>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</si>
  <si>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</si>
  <si>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</si>
  <si>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</si>
  <si>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</si>
  <si>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</si>
  <si>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</si>
  <si>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</si>
  <si>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</si>
  <si>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</si>
  <si>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</si>
  <si>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</si>
  <si>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</si>
  <si>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</si>
  <si>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</si>
  <si>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</si>
  <si>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</si>
  <si>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</si>
  <si>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</si>
  <si>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</si>
  <si>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</si>
  <si>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</si>
  <si>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</si>
  <si>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</si>
  <si>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</si>
  <si>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</si>
  <si>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</si>
  <si>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</si>
  <si>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</si>
  <si>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</si>
  <si>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</si>
  <si>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</si>
  <si>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</si>
  <si>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</si>
  <si>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</si>
  <si>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</si>
  <si>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</si>
  <si>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</si>
  <si>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</si>
  <si>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</si>
  <si>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</si>
  <si>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</si>
  <si>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</si>
  <si>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</si>
  <si>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</si>
  <si>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</si>
  <si>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</si>
  <si>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</si>
  <si>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</si>
  <si>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</si>
  <si>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</si>
  <si>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</si>
  <si>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</si>
  <si>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</si>
  <si>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</si>
  <si>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</si>
  <si>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</si>
  <si>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</si>
  <si>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</si>
  <si>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</si>
  <si>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</si>
  <si>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</si>
  <si>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</si>
  <si>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</si>
  <si>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</si>
  <si>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</si>
  <si>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</si>
  <si>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</si>
  <si>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</si>
  <si>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</si>
  <si>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</si>
  <si>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</si>
  <si>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</si>
  <si>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</si>
  <si>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</si>
  <si>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</si>
  <si>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</si>
  <si>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</si>
  <si>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</si>
  <si>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</si>
  <si>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</si>
  <si>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</si>
  <si>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</si>
  <si>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</si>
  <si>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</si>
  <si>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</si>
  <si>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</si>
  <si>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</si>
  <si>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</si>
  <si>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</si>
  <si>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</si>
  <si>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</si>
  <si>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</si>
  <si>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</si>
  <si>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</si>
  <si>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</si>
  <si>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</si>
  <si>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</si>
  <si>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</si>
  <si>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</si>
  <si>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</si>
  <si>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</si>
  <si>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</si>
  <si>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</si>
  <si>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</si>
  <si>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</si>
  <si>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</si>
  <si>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</si>
  <si>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</si>
  <si>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</si>
  <si>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</si>
  <si>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</si>
  <si>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</si>
  <si>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</si>
  <si>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</si>
  <si>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</si>
  <si>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</si>
  <si>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</si>
  <si>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</si>
  <si>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</si>
  <si>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</si>
  <si>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</si>
  <si>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</si>
  <si>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</si>
  <si>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</si>
  <si>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</si>
  <si>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</si>
  <si>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</si>
  <si>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</si>
  <si>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</si>
  <si>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</si>
  <si>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</si>
  <si>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</si>
  <si>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</si>
  <si>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</si>
  <si>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</si>
  <si>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</si>
  <si>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</si>
  <si>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</si>
  <si>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</si>
  <si>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</si>
  <si>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</si>
  <si>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</si>
  <si>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</si>
  <si>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</si>
  <si>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</si>
  <si>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</si>
  <si>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</si>
  <si>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</si>
  <si>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</si>
  <si>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</si>
  <si>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</si>
  <si>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</si>
  <si>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</si>
  <si>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</si>
  <si>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</si>
  <si>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</si>
  <si>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</si>
  <si>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</si>
  <si>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</si>
  <si>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</si>
  <si>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</si>
  <si>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</si>
  <si>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</si>
  <si>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</si>
  <si>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</si>
  <si>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</si>
  <si>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</si>
  <si>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</si>
  <si>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</si>
  <si>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</si>
  <si>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</si>
  <si>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</si>
  <si>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</si>
  <si>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</si>
  <si>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</si>
  <si>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</si>
  <si>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</si>
  <si>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</si>
  <si>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</si>
  <si>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</si>
  <si>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</si>
  <si>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</si>
  <si>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</si>
  <si>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</si>
  <si>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</si>
  <si>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</si>
  <si>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</si>
  <si>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</si>
  <si>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</si>
  <si>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</si>
  <si>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</si>
  <si>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</si>
  <si>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</si>
  <si>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</si>
  <si>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</si>
  <si>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</si>
  <si>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</si>
  <si>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</si>
  <si>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</si>
  <si>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</si>
  <si>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</si>
  <si>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</si>
  <si>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</si>
  <si>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</si>
  <si>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</si>
  <si>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</si>
  <si>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</si>
  <si>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</si>
  <si>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</si>
  <si>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</si>
  <si>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</si>
  <si>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</si>
  <si>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</si>
  <si>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</si>
  <si>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</si>
  <si>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</si>
  <si>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</si>
  <si>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</si>
  <si>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</si>
  <si>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</si>
  <si>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</si>
  <si>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</si>
  <si>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</si>
  <si>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</si>
  <si>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</si>
  <si>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</si>
  <si>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</si>
  <si>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</si>
  <si>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</si>
  <si>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</si>
  <si>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</si>
  <si>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</si>
  <si>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</si>
  <si>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</si>
  <si>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</si>
  <si>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</si>
  <si>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</si>
  <si>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</si>
  <si>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</si>
  <si>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</si>
  <si>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</si>
  <si>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</si>
  <si>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</si>
  <si>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</si>
  <si>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</si>
  <si>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</si>
  <si>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</si>
  <si>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</si>
  <si>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</si>
  <si>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</si>
  <si>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</si>
  <si>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</si>
  <si>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</si>
  <si>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</si>
  <si>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</si>
  <si>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</si>
  <si>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</si>
  <si>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</si>
  <si>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</si>
  <si>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</si>
  <si>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</si>
  <si>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</si>
  <si>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</si>
  <si>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</si>
  <si>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</si>
  <si>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</si>
  <si>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</si>
  <si>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</si>
  <si>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</si>
  <si>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</si>
  <si>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</si>
  <si>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</si>
  <si>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</si>
  <si>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</si>
  <si>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</si>
  <si>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</si>
  <si>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</si>
  <si>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</si>
  <si>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</si>
  <si>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</si>
  <si>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</si>
  <si>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</si>
  <si>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</si>
  <si>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</si>
  <si>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</si>
  <si>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</si>
  <si>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</si>
  <si>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</si>
  <si>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</si>
  <si>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</si>
  <si>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</si>
  <si>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</si>
  <si>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</si>
  <si>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</si>
  <si>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</si>
  <si>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</si>
  <si>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</si>
  <si>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</si>
  <si>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</si>
  <si>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</si>
  <si>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</si>
  <si>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</si>
  <si>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</si>
  <si>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</si>
  <si>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</si>
  <si>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</si>
  <si>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</si>
  <si>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</si>
  <si>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</si>
  <si>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</si>
  <si>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</si>
  <si>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</si>
  <si>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</si>
  <si>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</si>
  <si>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</si>
  <si>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</si>
  <si>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</si>
  <si>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</si>
  <si>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</si>
  <si>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</si>
  <si>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</si>
  <si>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</si>
  <si>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</si>
  <si>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</si>
  <si>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</si>
  <si>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</si>
  <si>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</si>
  <si>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</si>
  <si>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</si>
  <si>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</si>
  <si>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</si>
  <si>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</si>
  <si>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</si>
  <si>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</si>
  <si>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</si>
  <si>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</si>
  <si>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</si>
  <si>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</si>
  <si>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</si>
  <si>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</si>
  <si>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</si>
  <si>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</si>
  <si>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</si>
  <si>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</si>
  <si>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</si>
  <si>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</si>
  <si>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</si>
  <si>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</si>
  <si>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</si>
  <si>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</si>
  <si>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</si>
  <si>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</si>
  <si>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</si>
  <si>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</si>
  <si>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</si>
  <si>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</si>
  <si>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</si>
  <si>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</si>
  <si>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</si>
  <si>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</si>
  <si>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</si>
  <si>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</si>
  <si>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</si>
  <si>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</si>
  <si>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</si>
  <si>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</si>
  <si>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</si>
  <si>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</si>
  <si>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</si>
  <si>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</si>
  <si>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</si>
  <si>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</si>
  <si>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</si>
  <si>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</si>
  <si>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</si>
  <si>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</si>
  <si>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</si>
  <si>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</si>
  <si>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</si>
  <si>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</si>
  <si>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</si>
  <si>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</si>
  <si>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</si>
  <si>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</si>
  <si>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</si>
  <si>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</si>
  <si>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</si>
  <si>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</si>
  <si>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</si>
  <si>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</si>
  <si>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</si>
  <si>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</si>
  <si>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</si>
  <si>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</si>
  <si>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</si>
  <si>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</si>
  <si>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</si>
  <si>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</si>
  <si>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</si>
  <si>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</si>
  <si>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</si>
  <si>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</si>
  <si>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</si>
  <si>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</si>
  <si>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</si>
  <si>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</si>
  <si>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</si>
  <si>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</si>
  <si>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</si>
  <si>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</si>
  <si>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</si>
  <si>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</si>
  <si>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</si>
  <si>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</si>
  <si>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</si>
  <si>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</si>
  <si>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</si>
  <si>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</si>
  <si>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</si>
  <si>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</si>
  <si>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</si>
  <si>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</si>
  <si>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</si>
  <si>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</si>
  <si>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</si>
  <si>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</si>
  <si>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</si>
  <si>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</si>
  <si>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</si>
  <si>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</si>
  <si>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</si>
  <si>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</si>
  <si>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</si>
  <si>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</si>
  <si>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</si>
  <si>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</si>
  <si>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</si>
  <si>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</si>
  <si>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</si>
  <si>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</si>
  <si>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</si>
  <si>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</si>
  <si>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</si>
  <si>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</si>
  <si>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</si>
  <si>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</si>
  <si>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</si>
  <si>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</si>
  <si>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</si>
  <si>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</si>
  <si>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</si>
  <si>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</si>
  <si>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</si>
  <si>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</si>
  <si>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</si>
  <si>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</si>
  <si>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</si>
  <si>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</si>
  <si>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</si>
  <si>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</si>
  <si>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</si>
  <si>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</si>
  <si>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</si>
  <si>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</si>
  <si>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</si>
  <si>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</si>
  <si>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</si>
  <si>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</si>
  <si>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</si>
  <si>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</si>
  <si>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</si>
  <si>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</si>
  <si>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</si>
  <si>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</si>
  <si>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</si>
  <si>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</si>
  <si>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</si>
  <si>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</si>
  <si>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</si>
  <si>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</si>
  <si>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</si>
  <si>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</si>
  <si>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</si>
  <si>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</si>
  <si>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</si>
  <si>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</si>
  <si>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</si>
  <si>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</si>
  <si>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</si>
  <si>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</si>
  <si>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</si>
  <si>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</si>
  <si>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</si>
  <si>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</si>
  <si>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</si>
  <si>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</si>
  <si>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</si>
  <si>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</si>
  <si>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</si>
  <si>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</si>
  <si>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</si>
  <si>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</si>
  <si>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</si>
  <si>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</si>
  <si>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</si>
  <si>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</si>
  <si>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</si>
  <si>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</si>
  <si>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</si>
  <si>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</si>
  <si>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</si>
  <si>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</si>
  <si>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</si>
  <si>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</si>
  <si>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</si>
  <si>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</si>
  <si>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</si>
  <si>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</si>
  <si>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</si>
  <si>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</si>
  <si>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</si>
  <si>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</si>
  <si>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</si>
  <si>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</si>
  <si>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</si>
  <si>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</si>
  <si>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</si>
  <si>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</si>
  <si>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</si>
  <si>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</si>
  <si>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</si>
  <si>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</si>
  <si>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</si>
  <si>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</si>
  <si>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</si>
  <si>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</si>
  <si>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</si>
  <si>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</si>
  <si>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</si>
  <si>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</si>
  <si>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</si>
  <si>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</si>
  <si>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</si>
  <si>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</si>
  <si>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</si>
  <si>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</si>
  <si>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</si>
  <si>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</si>
  <si>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</si>
  <si>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</si>
  <si>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</si>
  <si>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</si>
  <si>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</si>
  <si>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</si>
  <si>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</si>
  <si>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</si>
  <si>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</si>
  <si>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</si>
  <si>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</si>
  <si>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</si>
  <si>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</si>
  <si>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</si>
  <si>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</si>
  <si>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</si>
  <si>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</si>
  <si>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</si>
  <si>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</si>
  <si>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</si>
  <si>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</si>
  <si>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</si>
  <si>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</si>
  <si>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</si>
  <si>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</si>
  <si>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</si>
  <si>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</si>
  <si>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</si>
  <si>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</si>
  <si>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</si>
  <si>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</si>
  <si>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</si>
  <si>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</si>
  <si>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</si>
  <si>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</si>
  <si>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</si>
  <si>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</si>
  <si>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</si>
  <si>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</si>
  <si>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</si>
  <si>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</si>
  <si>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</si>
  <si>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</si>
  <si>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</si>
  <si>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</si>
  <si>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</si>
  <si>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</si>
  <si>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</si>
  <si>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</si>
  <si>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</si>
  <si>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</si>
  <si>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</si>
  <si>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</si>
  <si>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</si>
  <si>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</si>
  <si>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</si>
  <si>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</si>
  <si>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</si>
  <si>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</si>
  <si>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</si>
  <si>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</si>
  <si>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</si>
  <si>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</si>
  <si>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</si>
  <si>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</si>
  <si>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</si>
  <si>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</si>
  <si>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</si>
  <si>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</si>
  <si>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</si>
  <si>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</si>
  <si>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</si>
  <si>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</si>
  <si>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</si>
  <si>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</si>
  <si>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</si>
  <si>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</si>
  <si>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</si>
  <si>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</si>
  <si>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</si>
  <si>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</si>
  <si>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</si>
  <si>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</si>
  <si>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</si>
  <si>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</si>
  <si>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</si>
  <si>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</si>
  <si>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</si>
  <si>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</si>
  <si>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</si>
  <si>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</si>
  <si>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</si>
  <si>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</si>
  <si>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</si>
  <si>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</si>
  <si>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</si>
  <si>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</si>
  <si>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</si>
  <si>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</si>
  <si>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</si>
  <si>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</si>
  <si>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</si>
  <si>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</si>
  <si>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</si>
  <si>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</si>
  <si>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</si>
  <si>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</si>
  <si>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</si>
  <si>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</si>
  <si>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</si>
  <si>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</si>
  <si>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</si>
  <si>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</si>
  <si>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</si>
  <si>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</si>
  <si>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</si>
  <si>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</si>
  <si>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</si>
  <si>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</si>
  <si>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</si>
  <si>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</si>
  <si>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</si>
  <si>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</si>
  <si>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</si>
  <si>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</si>
  <si>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</si>
  <si>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</si>
  <si>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</si>
  <si>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</si>
  <si>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</si>
  <si>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</si>
  <si>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</si>
  <si>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</si>
  <si>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</si>
  <si>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</si>
  <si>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</si>
  <si>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</si>
  <si>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</si>
  <si>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</si>
  <si>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</si>
  <si>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</si>
  <si>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</si>
  <si>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</si>
  <si>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</si>
  <si>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</si>
  <si>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</si>
  <si>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</si>
  <si>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</si>
  <si>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</si>
  <si>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</si>
  <si>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</si>
  <si>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</si>
  <si>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</si>
  <si>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</si>
  <si>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</si>
  <si>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</si>
  <si>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</si>
  <si>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</si>
  <si>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</si>
  <si>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</si>
  <si>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</si>
  <si>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</si>
  <si>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</si>
  <si>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</si>
  <si>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</si>
  <si>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</si>
  <si>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</si>
  <si>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</si>
  <si>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</si>
  <si>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</si>
  <si>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</si>
  <si>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</si>
  <si>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</si>
  <si>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</si>
  <si>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</si>
  <si>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</si>
  <si>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</si>
  <si>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</si>
  <si>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</si>
  <si>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</si>
  <si>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</si>
  <si>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</si>
  <si>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</si>
  <si>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</si>
  <si>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</si>
  <si>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</si>
  <si>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</si>
  <si>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</si>
  <si>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</si>
  <si>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</si>
  <si>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</si>
  <si>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</si>
  <si>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</si>
  <si>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</si>
  <si>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</si>
  <si>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</si>
  <si>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</si>
  <si>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</si>
  <si>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</si>
  <si>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</si>
  <si>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"МОНБАТ" АД</t>
  </si>
  <si>
    <t>неконсолидиран</t>
  </si>
  <si>
    <t>1. МОНБАТ СЪРБИЯ</t>
  </si>
  <si>
    <t>2. SC MONBAT RECYCLING SRL Румъния</t>
  </si>
  <si>
    <t>1. "СТАРТ" АД</t>
  </si>
  <si>
    <t>12.2008 г.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</si>
</sst>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7" fillId="0" borderId="1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115" zoomScaleNormal="115" workbookViewId="0" topLeftCell="A76">
      <selection activeCell="C91" sqref="C9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573" t="s">
        <v>869</v>
      </c>
      <c r="F3" s="217" t="s">
        <v>2</v>
      </c>
      <c r="G3" s="172"/>
      <c r="H3" s="574">
        <v>111028849</v>
      </c>
    </row>
    <row r="4" spans="1:8" ht="15">
      <c r="A4" s="581" t="s">
        <v>3</v>
      </c>
      <c r="B4" s="587"/>
      <c r="C4" s="587"/>
      <c r="D4" s="587"/>
      <c r="E4" s="573" t="s">
        <v>870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3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4770</v>
      </c>
      <c r="D11" s="151">
        <v>4770</v>
      </c>
      <c r="E11" s="237" t="s">
        <v>22</v>
      </c>
      <c r="F11" s="242" t="s">
        <v>23</v>
      </c>
      <c r="G11" s="152">
        <v>39000</v>
      </c>
      <c r="H11" s="152">
        <v>19500</v>
      </c>
    </row>
    <row r="12" spans="1:8" ht="15">
      <c r="A12" s="235" t="s">
        <v>24</v>
      </c>
      <c r="B12" s="241" t="s">
        <v>25</v>
      </c>
      <c r="C12" s="151">
        <v>10306</v>
      </c>
      <c r="D12" s="151">
        <v>10105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17273</v>
      </c>
      <c r="D13" s="151">
        <v>15165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1515</v>
      </c>
      <c r="D14" s="151">
        <v>1509</v>
      </c>
      <c r="E14" s="243" t="s">
        <v>34</v>
      </c>
      <c r="F14" s="242" t="s">
        <v>35</v>
      </c>
      <c r="G14" s="316">
        <v>-467</v>
      </c>
      <c r="H14" s="316"/>
    </row>
    <row r="15" spans="1:8" ht="15">
      <c r="A15" s="235" t="s">
        <v>36</v>
      </c>
      <c r="B15" s="241" t="s">
        <v>37</v>
      </c>
      <c r="C15" s="151">
        <v>1699</v>
      </c>
      <c r="D15" s="151">
        <v>1553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1991</v>
      </c>
      <c r="D16" s="151">
        <v>1431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22388</v>
      </c>
      <c r="D17" s="151">
        <v>5398</v>
      </c>
      <c r="E17" s="243" t="s">
        <v>46</v>
      </c>
      <c r="F17" s="245" t="s">
        <v>47</v>
      </c>
      <c r="G17" s="154">
        <f>G11+G14+G15+G16</f>
        <v>38533</v>
      </c>
      <c r="H17" s="154">
        <f>H11+H14+H15+H16</f>
        <v>19500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59942</v>
      </c>
      <c r="D19" s="155">
        <f>SUM(D11:D18)</f>
        <v>39931</v>
      </c>
      <c r="E19" s="237" t="s">
        <v>53</v>
      </c>
      <c r="F19" s="242" t="s">
        <v>54</v>
      </c>
      <c r="G19" s="152">
        <v>24760</v>
      </c>
      <c r="H19" s="152">
        <v>27965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13922</v>
      </c>
      <c r="H20" s="158">
        <v>13922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2950</v>
      </c>
      <c r="H21" s="156">
        <f>SUM(H22:H24)</f>
        <v>5082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2950</v>
      </c>
      <c r="H22" s="152">
        <v>5082</v>
      </c>
    </row>
    <row r="23" spans="1:13" ht="15">
      <c r="A23" s="235" t="s">
        <v>66</v>
      </c>
      <c r="B23" s="241" t="s">
        <v>67</v>
      </c>
      <c r="C23" s="151">
        <v>24</v>
      </c>
      <c r="D23" s="151">
        <v>28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11</v>
      </c>
      <c r="D24" s="151">
        <v>23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41632</v>
      </c>
      <c r="H25" s="154">
        <f>H19+H20+H21</f>
        <v>46969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35</v>
      </c>
      <c r="D27" s="155">
        <f>SUM(D23:D26)</f>
        <v>51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3441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>
        <v>3441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26698</v>
      </c>
      <c r="H31" s="152">
        <v>17409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26698</v>
      </c>
      <c r="H33" s="154">
        <f>H27+H31+H32</f>
        <v>20850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11514</v>
      </c>
      <c r="D34" s="155">
        <f>SUM(D35:D38)</f>
        <v>8971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11514</v>
      </c>
      <c r="D35" s="151">
        <f>4860+4111</f>
        <v>8971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106863</v>
      </c>
      <c r="H36" s="154">
        <f>H25+H17+H33</f>
        <v>87319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21477</v>
      </c>
      <c r="H44" s="152">
        <v>18897</v>
      </c>
    </row>
    <row r="45" spans="1:15" ht="15">
      <c r="A45" s="235" t="s">
        <v>136</v>
      </c>
      <c r="B45" s="249" t="s">
        <v>137</v>
      </c>
      <c r="C45" s="155">
        <f>C34+C39+C44</f>
        <v>11514</v>
      </c>
      <c r="D45" s="155">
        <f>D34+D39+D44</f>
        <v>8971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1711</v>
      </c>
      <c r="H46" s="152">
        <v>706</v>
      </c>
    </row>
    <row r="47" spans="1:13" ht="15">
      <c r="A47" s="235" t="s">
        <v>143</v>
      </c>
      <c r="B47" s="241" t="s">
        <v>144</v>
      </c>
      <c r="C47" s="151">
        <v>14542</v>
      </c>
      <c r="D47" s="151">
        <v>8890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23188</v>
      </c>
      <c r="H49" s="154">
        <f>SUM(H43:H48)</f>
        <v>19603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14542</v>
      </c>
      <c r="D51" s="155">
        <f>SUM(D47:D50)</f>
        <v>8890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2214</v>
      </c>
      <c r="H53" s="152">
        <v>1816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86033</v>
      </c>
      <c r="D55" s="155">
        <f>D19+D20+D21+D27+D32+D45+D51+D53+D54</f>
        <v>57843</v>
      </c>
      <c r="E55" s="237" t="s">
        <v>172</v>
      </c>
      <c r="F55" s="261" t="s">
        <v>173</v>
      </c>
      <c r="G55" s="154">
        <f>G49+G51+G52+G53+G54</f>
        <v>25402</v>
      </c>
      <c r="H55" s="154">
        <f>H49+H51+H52+H53+H54</f>
        <v>21419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5538</v>
      </c>
      <c r="D58" s="151">
        <v>11706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3142</v>
      </c>
      <c r="D59" s="151">
        <v>5692</v>
      </c>
      <c r="E59" s="251" t="s">
        <v>181</v>
      </c>
      <c r="F59" s="242" t="s">
        <v>182</v>
      </c>
      <c r="G59" s="152">
        <v>5867</v>
      </c>
      <c r="H59" s="152">
        <v>5623</v>
      </c>
      <c r="M59" s="157"/>
    </row>
    <row r="60" spans="1:8" ht="15">
      <c r="A60" s="235" t="s">
        <v>183</v>
      </c>
      <c r="B60" s="241" t="s">
        <v>184</v>
      </c>
      <c r="C60" s="151">
        <v>66</v>
      </c>
      <c r="D60" s="151">
        <v>699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24640</v>
      </c>
      <c r="D61" s="151">
        <v>21782</v>
      </c>
      <c r="E61" s="243" t="s">
        <v>189</v>
      </c>
      <c r="F61" s="272" t="s">
        <v>190</v>
      </c>
      <c r="G61" s="154">
        <f>SUM(G62:G68)</f>
        <v>14056</v>
      </c>
      <c r="H61" s="154">
        <f>SUM(H62:H68)</f>
        <v>13826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3519</v>
      </c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33386</v>
      </c>
      <c r="D64" s="155">
        <f>SUM(D58:D63)</f>
        <v>39879</v>
      </c>
      <c r="E64" s="237" t="s">
        <v>200</v>
      </c>
      <c r="F64" s="242" t="s">
        <v>201</v>
      </c>
      <c r="G64" s="152">
        <v>7394</v>
      </c>
      <c r="H64" s="152">
        <v>11544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36</v>
      </c>
      <c r="H65" s="152">
        <v>176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617</v>
      </c>
      <c r="H66" s="152">
        <v>595</v>
      </c>
    </row>
    <row r="67" spans="1:8" ht="15">
      <c r="A67" s="235" t="s">
        <v>207</v>
      </c>
      <c r="B67" s="241" t="s">
        <v>208</v>
      </c>
      <c r="C67" s="151">
        <v>7301</v>
      </c>
      <c r="D67" s="151"/>
      <c r="E67" s="237" t="s">
        <v>209</v>
      </c>
      <c r="F67" s="242" t="s">
        <v>210</v>
      </c>
      <c r="G67" s="152">
        <v>455</v>
      </c>
      <c r="H67" s="152">
        <v>233</v>
      </c>
    </row>
    <row r="68" spans="1:8" ht="15">
      <c r="A68" s="235" t="s">
        <v>211</v>
      </c>
      <c r="B68" s="241" t="s">
        <v>212</v>
      </c>
      <c r="C68" s="151">
        <v>17205</v>
      </c>
      <c r="D68" s="151">
        <v>23306</v>
      </c>
      <c r="E68" s="237" t="s">
        <v>213</v>
      </c>
      <c r="F68" s="242" t="s">
        <v>214</v>
      </c>
      <c r="G68" s="152">
        <v>2035</v>
      </c>
      <c r="H68" s="152">
        <v>1278</v>
      </c>
    </row>
    <row r="69" spans="1:8" ht="15">
      <c r="A69" s="235" t="s">
        <v>215</v>
      </c>
      <c r="B69" s="241" t="s">
        <v>216</v>
      </c>
      <c r="C69" s="151">
        <v>475</v>
      </c>
      <c r="D69" s="151">
        <v>386</v>
      </c>
      <c r="E69" s="251" t="s">
        <v>78</v>
      </c>
      <c r="F69" s="242" t="s">
        <v>217</v>
      </c>
      <c r="G69" s="152">
        <v>62</v>
      </c>
      <c r="H69" s="152">
        <v>60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>
        <v>633</v>
      </c>
      <c r="E71" s="253" t="s">
        <v>46</v>
      </c>
      <c r="F71" s="273" t="s">
        <v>224</v>
      </c>
      <c r="G71" s="161">
        <f>G59+G60+G61+G69+G70</f>
        <v>19985</v>
      </c>
      <c r="H71" s="161">
        <f>H59+H60+H61+H69+H70</f>
        <v>19509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1307</v>
      </c>
      <c r="D72" s="151">
        <v>440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2347</v>
      </c>
      <c r="D74" s="151">
        <v>934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28635</v>
      </c>
      <c r="D75" s="155">
        <f>SUM(D67:D74)</f>
        <v>25699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19985</v>
      </c>
      <c r="H79" s="162">
        <f>H71+H74+H75+H76</f>
        <v>19509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58</v>
      </c>
      <c r="D87" s="151">
        <v>1239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3620</v>
      </c>
      <c r="D88" s="151">
        <v>3441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141</v>
      </c>
      <c r="D89" s="151">
        <v>93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3819</v>
      </c>
      <c r="D91" s="155">
        <f>SUM(D87:D90)</f>
        <v>4773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377</v>
      </c>
      <c r="D92" s="151">
        <v>53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66217</v>
      </c>
      <c r="D93" s="155">
        <f>D64+D75+D84+D91+D92</f>
        <v>70404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152250</v>
      </c>
      <c r="D94" s="164">
        <f>D93+D55</f>
        <v>128247</v>
      </c>
      <c r="E94" s="449" t="s">
        <v>270</v>
      </c>
      <c r="F94" s="289" t="s">
        <v>271</v>
      </c>
      <c r="G94" s="165">
        <f>G36+G39+G55+G79</f>
        <v>152250</v>
      </c>
      <c r="H94" s="165">
        <f>H36+H39+H55+H79</f>
        <v>128247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860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115" zoomScaleNormal="115" workbookViewId="0" topLeftCell="A20">
      <selection activeCell="C42" sqref="C42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90" t="str">
        <f>'справка №1-БАЛАНС'!E3</f>
        <v>"МОНБАТ" АД</v>
      </c>
      <c r="C2" s="590"/>
      <c r="D2" s="590"/>
      <c r="E2" s="590"/>
      <c r="F2" s="577" t="s">
        <v>2</v>
      </c>
      <c r="G2" s="577"/>
      <c r="H2" s="524">
        <f>'справка №1-БАЛАНС'!H3</f>
        <v>111028849</v>
      </c>
    </row>
    <row r="3" spans="1:8" ht="15">
      <c r="A3" s="466" t="s">
        <v>275</v>
      </c>
      <c r="B3" s="590" t="str">
        <f>'справка №1-БАЛАНС'!E4</f>
        <v>неконсолидиран</v>
      </c>
      <c r="C3" s="590"/>
      <c r="D3" s="590"/>
      <c r="E3" s="590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6" t="s">
        <v>5</v>
      </c>
      <c r="B4" s="576" t="str">
        <f>'справка №1-БАЛАНС'!E5</f>
        <v>12.2008 г.</v>
      </c>
      <c r="C4" s="576"/>
      <c r="D4" s="576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f>117848-14700</f>
        <v>103148</v>
      </c>
      <c r="D9" s="46">
        <v>104981</v>
      </c>
      <c r="E9" s="298" t="s">
        <v>285</v>
      </c>
      <c r="F9" s="547" t="s">
        <v>286</v>
      </c>
      <c r="G9" s="548">
        <v>156855</v>
      </c>
      <c r="H9" s="548">
        <v>131068</v>
      </c>
    </row>
    <row r="10" spans="1:8" ht="12">
      <c r="A10" s="298" t="s">
        <v>287</v>
      </c>
      <c r="B10" s="299" t="s">
        <v>288</v>
      </c>
      <c r="C10" s="46">
        <f>17225-5099</f>
        <v>12126</v>
      </c>
      <c r="D10" s="46">
        <v>10932</v>
      </c>
      <c r="E10" s="298" t="s">
        <v>289</v>
      </c>
      <c r="F10" s="547" t="s">
        <v>290</v>
      </c>
      <c r="G10" s="548">
        <v>766</v>
      </c>
      <c r="H10" s="548">
        <v>324</v>
      </c>
    </row>
    <row r="11" spans="1:8" ht="12">
      <c r="A11" s="298" t="s">
        <v>291</v>
      </c>
      <c r="B11" s="299" t="s">
        <v>292</v>
      </c>
      <c r="C11" s="46">
        <v>3738</v>
      </c>
      <c r="D11" s="46">
        <v>4294</v>
      </c>
      <c r="E11" s="300" t="s">
        <v>293</v>
      </c>
      <c r="F11" s="547" t="s">
        <v>294</v>
      </c>
      <c r="G11" s="548">
        <v>1176</v>
      </c>
      <c r="H11" s="548">
        <v>2879</v>
      </c>
    </row>
    <row r="12" spans="1:8" ht="12">
      <c r="A12" s="298" t="s">
        <v>295</v>
      </c>
      <c r="B12" s="299" t="s">
        <v>296</v>
      </c>
      <c r="C12" s="46">
        <v>8856</v>
      </c>
      <c r="D12" s="46">
        <v>7165</v>
      </c>
      <c r="E12" s="300" t="s">
        <v>78</v>
      </c>
      <c r="F12" s="547" t="s">
        <v>297</v>
      </c>
      <c r="G12" s="548">
        <v>22208</v>
      </c>
      <c r="H12" s="548">
        <v>9723</v>
      </c>
    </row>
    <row r="13" spans="1:18" ht="12">
      <c r="A13" s="298" t="s">
        <v>298</v>
      </c>
      <c r="B13" s="299" t="s">
        <v>299</v>
      </c>
      <c r="C13" s="46">
        <v>2000</v>
      </c>
      <c r="D13" s="46">
        <v>1852</v>
      </c>
      <c r="E13" s="301" t="s">
        <v>51</v>
      </c>
      <c r="F13" s="549" t="s">
        <v>300</v>
      </c>
      <c r="G13" s="546">
        <f>SUM(G9:G12)</f>
        <v>181005</v>
      </c>
      <c r="H13" s="546">
        <f>SUM(H9:H12)</f>
        <v>143994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17864</v>
      </c>
      <c r="D14" s="46">
        <v>6557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v>-309</v>
      </c>
      <c r="D15" s="47">
        <v>-14940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2555</v>
      </c>
      <c r="D16" s="47">
        <v>2583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149978</v>
      </c>
      <c r="D19" s="49">
        <f>SUM(D9:D15)+D16</f>
        <v>123424</v>
      </c>
      <c r="E19" s="304" t="s">
        <v>317</v>
      </c>
      <c r="F19" s="550" t="s">
        <v>318</v>
      </c>
      <c r="G19" s="548">
        <v>854</v>
      </c>
      <c r="H19" s="548">
        <v>50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1391</v>
      </c>
      <c r="D22" s="46">
        <v>667</v>
      </c>
      <c r="E22" s="304" t="s">
        <v>326</v>
      </c>
      <c r="F22" s="550" t="s">
        <v>327</v>
      </c>
      <c r="G22" s="548">
        <v>164</v>
      </c>
      <c r="H22" s="548">
        <v>126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12">
      <c r="A24" s="298" t="s">
        <v>332</v>
      </c>
      <c r="B24" s="305" t="s">
        <v>333</v>
      </c>
      <c r="C24" s="46">
        <v>275</v>
      </c>
      <c r="D24" s="46">
        <v>199</v>
      </c>
      <c r="E24" s="301" t="s">
        <v>103</v>
      </c>
      <c r="F24" s="552" t="s">
        <v>334</v>
      </c>
      <c r="G24" s="546">
        <f>SUM(G19:G23)</f>
        <v>1018</v>
      </c>
      <c r="H24" s="546">
        <f>SUM(H19:H23)</f>
        <v>176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494</v>
      </c>
      <c r="D25" s="46">
        <v>459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2160</v>
      </c>
      <c r="D26" s="49">
        <f>SUM(D22:D25)</f>
        <v>1325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152138</v>
      </c>
      <c r="D28" s="50">
        <f>D26+D19</f>
        <v>124749</v>
      </c>
      <c r="E28" s="127" t="s">
        <v>339</v>
      </c>
      <c r="F28" s="552" t="s">
        <v>340</v>
      </c>
      <c r="G28" s="546">
        <f>G13+G15+G24</f>
        <v>182023</v>
      </c>
      <c r="H28" s="546">
        <f>H13+H15+H24</f>
        <v>144170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29885</v>
      </c>
      <c r="D30" s="50">
        <f>IF((H28-D28)&gt;0,H28-D28,0)</f>
        <v>19421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856</v>
      </c>
      <c r="B31" s="306" t="s">
        <v>345</v>
      </c>
      <c r="C31" s="46"/>
      <c r="D31" s="46"/>
      <c r="E31" s="296" t="s">
        <v>859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>
        <v>5</v>
      </c>
    </row>
    <row r="33" spans="1:18" ht="12">
      <c r="A33" s="128" t="s">
        <v>351</v>
      </c>
      <c r="B33" s="306" t="s">
        <v>352</v>
      </c>
      <c r="C33" s="49">
        <f>C28-C31+C32</f>
        <v>152138</v>
      </c>
      <c r="D33" s="49">
        <f>D28-D31+D32</f>
        <v>124749</v>
      </c>
      <c r="E33" s="127" t="s">
        <v>353</v>
      </c>
      <c r="F33" s="552" t="s">
        <v>354</v>
      </c>
      <c r="G33" s="53">
        <f>G32-G31+G28</f>
        <v>182023</v>
      </c>
      <c r="H33" s="53">
        <f>H32-H31+H28</f>
        <v>144175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29885</v>
      </c>
      <c r="D34" s="50">
        <f>IF((H33-D33)&gt;0,H33-D33,0)</f>
        <v>19426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3187</v>
      </c>
      <c r="D35" s="49">
        <f>D36+D37+D38</f>
        <v>2017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>
        <v>2789</v>
      </c>
      <c r="D36" s="46">
        <v>1790</v>
      </c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>
        <v>398</v>
      </c>
      <c r="D37" s="430">
        <v>227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60">
        <f>+IF((G33-C33-C35)&gt;0,G33-C33-C35,0)</f>
        <v>26698</v>
      </c>
      <c r="D39" s="460">
        <f>+IF((H33-D33-D35)&gt;0,H33-D33-D35,0)</f>
        <v>17409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26698</v>
      </c>
      <c r="D41" s="52">
        <f>IF(H39=0,IF(D39-D40&gt;0,D39-D40+H40,0),IF(H39-H40&lt;0,H40-H39+D39,0))</f>
        <v>17409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182023</v>
      </c>
      <c r="D42" s="53">
        <f>D33+D35+D39</f>
        <v>144175</v>
      </c>
      <c r="E42" s="128" t="s">
        <v>380</v>
      </c>
      <c r="F42" s="129" t="s">
        <v>381</v>
      </c>
      <c r="G42" s="53">
        <f>G39+G33</f>
        <v>182023</v>
      </c>
      <c r="H42" s="53">
        <f>H39+H33</f>
        <v>144175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78" t="s">
        <v>867</v>
      </c>
      <c r="B45" s="578"/>
      <c r="C45" s="578"/>
      <c r="D45" s="578"/>
      <c r="E45" s="578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2" t="s">
        <v>272</v>
      </c>
      <c r="B48" s="427"/>
      <c r="C48" s="427" t="s">
        <v>383</v>
      </c>
      <c r="D48" s="588"/>
      <c r="E48" s="588"/>
      <c r="F48" s="588"/>
      <c r="G48" s="588"/>
      <c r="H48" s="588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785</v>
      </c>
      <c r="D50" s="589"/>
      <c r="E50" s="589"/>
      <c r="F50" s="589"/>
      <c r="G50" s="589"/>
      <c r="H50" s="589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37" bottom="0.23" header="0.16" footer="0.15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zoomScale="130" zoomScaleNormal="130" workbookViewId="0" topLeftCell="A15">
      <selection activeCell="C37" sqref="C3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385</v>
      </c>
      <c r="B4" s="469" t="str">
        <f>'справка №1-БАЛАНС'!E3</f>
        <v>"МОНБАТ" АД</v>
      </c>
      <c r="C4" s="539" t="s">
        <v>2</v>
      </c>
      <c r="D4" s="539">
        <f>'справка №1-БАЛАНС'!H3</f>
        <v>111028849</v>
      </c>
      <c r="E4" s="323"/>
      <c r="F4" s="323"/>
    </row>
    <row r="5" spans="1:4" ht="15">
      <c r="A5" s="469" t="s">
        <v>275</v>
      </c>
      <c r="B5" s="469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70" t="s">
        <v>5</v>
      </c>
      <c r="B6" s="504" t="str">
        <f>'справка №1-БАЛАНС'!E5</f>
        <v>12.2008 г.</v>
      </c>
      <c r="C6" s="471"/>
      <c r="D6" s="472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176457</v>
      </c>
      <c r="D10" s="54">
        <v>132496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-132557</v>
      </c>
      <c r="D11" s="54">
        <v>-135004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-10353</v>
      </c>
      <c r="D13" s="54">
        <v>-8453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7494</v>
      </c>
      <c r="D14" s="54">
        <v>13111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-2530</v>
      </c>
      <c r="D15" s="54">
        <v>-1628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-143</v>
      </c>
      <c r="D18" s="54">
        <v>-99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-727</v>
      </c>
      <c r="D19" s="54">
        <v>-773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37641</v>
      </c>
      <c r="D20" s="55">
        <f>SUM(D10:D19)</f>
        <v>-350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-22713</v>
      </c>
      <c r="D22" s="54">
        <v>-12750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-8870</v>
      </c>
      <c r="D31" s="54">
        <f>-4133-8987</f>
        <v>-13120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-31583</v>
      </c>
      <c r="D32" s="55">
        <f>SUM(D22:D31)</f>
        <v>-25870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>
        <v>-3671</v>
      </c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22315</v>
      </c>
      <c r="D36" s="54">
        <v>30685</v>
      </c>
      <c r="E36" s="130"/>
      <c r="F36" s="130"/>
    </row>
    <row r="37" spans="1:6" ht="12">
      <c r="A37" s="332" t="s">
        <v>439</v>
      </c>
      <c r="B37" s="333" t="s">
        <v>440</v>
      </c>
      <c r="C37" s="54">
        <f>-23907+3671</f>
        <v>-20236</v>
      </c>
      <c r="D37" s="54">
        <v>-4147</v>
      </c>
      <c r="E37" s="130"/>
      <c r="F37" s="130"/>
    </row>
    <row r="38" spans="1:6" ht="12">
      <c r="A38" s="332" t="s">
        <v>441</v>
      </c>
      <c r="B38" s="333" t="s">
        <v>442</v>
      </c>
      <c r="C38" s="54">
        <v>-400</v>
      </c>
      <c r="D38" s="54">
        <v>-413</v>
      </c>
      <c r="E38" s="130"/>
      <c r="F38" s="130"/>
    </row>
    <row r="39" spans="1:6" ht="12">
      <c r="A39" s="332" t="s">
        <v>443</v>
      </c>
      <c r="B39" s="333" t="s">
        <v>444</v>
      </c>
      <c r="C39" s="54">
        <v>-1290</v>
      </c>
      <c r="D39" s="54">
        <v>-542</v>
      </c>
      <c r="E39" s="130"/>
      <c r="F39" s="130"/>
    </row>
    <row r="40" spans="1:6" ht="12">
      <c r="A40" s="332" t="s">
        <v>445</v>
      </c>
      <c r="B40" s="333" t="s">
        <v>446</v>
      </c>
      <c r="C40" s="54">
        <v>-3251</v>
      </c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-479</v>
      </c>
      <c r="D41" s="54">
        <v>-445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-7012</v>
      </c>
      <c r="D42" s="55">
        <f>SUM(D34:D41)</f>
        <v>25138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-954</v>
      </c>
      <c r="D43" s="55">
        <f>D42+D32+D20</f>
        <v>-1082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4773</v>
      </c>
      <c r="D44" s="132">
        <v>5855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3819</v>
      </c>
      <c r="D45" s="55">
        <f>D44+D43</f>
        <v>4773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f>+C45-C47</f>
        <v>3678</v>
      </c>
      <c r="D46" s="56">
        <f>+D45-D47</f>
        <v>4680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141</v>
      </c>
      <c r="D47" s="56">
        <v>93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6" right="0.18" top="0.44" bottom="0.4" header="0.35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L27" sqref="L27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80" t="s">
        <v>461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592" t="str">
        <f>'справка №1-БАЛАНС'!E3</f>
        <v>"МОНБАТ" АД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№1-БАЛАНС'!H3</f>
        <v>111028849</v>
      </c>
      <c r="N3" s="2"/>
    </row>
    <row r="4" spans="1:15" s="530" customFormat="1" ht="13.5" customHeight="1">
      <c r="A4" s="466" t="s">
        <v>462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7" t="str">
        <f>'справка №1-БАЛАНС'!H4</f>
        <v> </v>
      </c>
      <c r="N4" s="3"/>
      <c r="O4" s="3"/>
    </row>
    <row r="5" spans="1:14" s="530" customFormat="1" ht="12.75" customHeight="1">
      <c r="A5" s="466" t="s">
        <v>5</v>
      </c>
      <c r="B5" s="596" t="str">
        <f>'справка №1-БАЛАНС'!E5</f>
        <v>12.2008 г.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1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19500</v>
      </c>
      <c r="D11" s="58">
        <f>'справка №1-БАЛАНС'!H19</f>
        <v>27965</v>
      </c>
      <c r="E11" s="58">
        <f>'справка №1-БАЛАНС'!H20</f>
        <v>13922</v>
      </c>
      <c r="F11" s="58">
        <f>'справка №1-БАЛАНС'!H22</f>
        <v>5082</v>
      </c>
      <c r="G11" s="58">
        <f>'справка №1-БАЛАНС'!H23</f>
        <v>0</v>
      </c>
      <c r="H11" s="60"/>
      <c r="I11" s="58">
        <f>'справка №1-БАЛАНС'!H28+'справка №1-БАЛАНС'!H31</f>
        <v>20850</v>
      </c>
      <c r="J11" s="58">
        <f>'справка №1-БАЛАНС'!H29+'справка №1-БАЛАНС'!H32</f>
        <v>0</v>
      </c>
      <c r="K11" s="60"/>
      <c r="L11" s="344">
        <f>SUM(C11:K11)</f>
        <v>87319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19500</v>
      </c>
      <c r="D15" s="61">
        <f aca="true" t="shared" si="2" ref="D15:M15">D11+D12</f>
        <v>27965</v>
      </c>
      <c r="E15" s="61">
        <f t="shared" si="2"/>
        <v>13922</v>
      </c>
      <c r="F15" s="61">
        <f t="shared" si="2"/>
        <v>5082</v>
      </c>
      <c r="G15" s="61">
        <f t="shared" si="2"/>
        <v>0</v>
      </c>
      <c r="H15" s="61">
        <f t="shared" si="2"/>
        <v>0</v>
      </c>
      <c r="I15" s="61">
        <f t="shared" si="2"/>
        <v>20850</v>
      </c>
      <c r="J15" s="61">
        <f t="shared" si="2"/>
        <v>0</v>
      </c>
      <c r="K15" s="61">
        <f t="shared" si="2"/>
        <v>0</v>
      </c>
      <c r="L15" s="344">
        <f t="shared" si="1"/>
        <v>87319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26698</v>
      </c>
      <c r="J16" s="345">
        <f>+'справка №1-БАЛАНС'!G32</f>
        <v>0</v>
      </c>
      <c r="K16" s="60"/>
      <c r="L16" s="344">
        <f t="shared" si="1"/>
        <v>26698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493</v>
      </c>
      <c r="B17" s="8" t="s">
        <v>494</v>
      </c>
      <c r="C17" s="62">
        <f>C18+C19</f>
        <v>17368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-20850</v>
      </c>
      <c r="J17" s="62">
        <f>J18+J19</f>
        <v>0</v>
      </c>
      <c r="K17" s="62">
        <f t="shared" si="3"/>
        <v>0</v>
      </c>
      <c r="L17" s="344">
        <f t="shared" si="1"/>
        <v>-3482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v>-3482</v>
      </c>
      <c r="J18" s="60"/>
      <c r="K18" s="60"/>
      <c r="L18" s="344">
        <f t="shared" si="1"/>
        <v>-3482</v>
      </c>
      <c r="M18" s="60"/>
      <c r="N18" s="11"/>
    </row>
    <row r="19" spans="1:14" ht="12" customHeight="1">
      <c r="A19" s="13" t="s">
        <v>497</v>
      </c>
      <c r="B19" s="18" t="s">
        <v>498</v>
      </c>
      <c r="C19" s="60">
        <v>17368</v>
      </c>
      <c r="D19" s="60"/>
      <c r="E19" s="60"/>
      <c r="F19" s="60"/>
      <c r="G19" s="60"/>
      <c r="H19" s="60"/>
      <c r="I19" s="60">
        <v>-17368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>
        <v>1665</v>
      </c>
      <c r="D28" s="60">
        <v>-3205</v>
      </c>
      <c r="E28" s="60"/>
      <c r="F28" s="60">
        <v>-2132</v>
      </c>
      <c r="G28" s="60"/>
      <c r="H28" s="60"/>
      <c r="I28" s="60"/>
      <c r="J28" s="60"/>
      <c r="K28" s="60"/>
      <c r="L28" s="344">
        <f t="shared" si="1"/>
        <v>-3672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38533</v>
      </c>
      <c r="D29" s="59">
        <f aca="true" t="shared" si="6" ref="D29:M29">D17+D20+D21+D24+D28+D27+D15+D16</f>
        <v>24760</v>
      </c>
      <c r="E29" s="59">
        <f t="shared" si="6"/>
        <v>13922</v>
      </c>
      <c r="F29" s="59">
        <f t="shared" si="6"/>
        <v>2950</v>
      </c>
      <c r="G29" s="59">
        <f t="shared" si="6"/>
        <v>0</v>
      </c>
      <c r="H29" s="59">
        <f t="shared" si="6"/>
        <v>0</v>
      </c>
      <c r="I29" s="59">
        <f t="shared" si="6"/>
        <v>26698</v>
      </c>
      <c r="J29" s="59">
        <f t="shared" si="6"/>
        <v>0</v>
      </c>
      <c r="K29" s="59">
        <f t="shared" si="6"/>
        <v>0</v>
      </c>
      <c r="L29" s="344">
        <f t="shared" si="1"/>
        <v>106863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38533</v>
      </c>
      <c r="D32" s="59">
        <f t="shared" si="7"/>
        <v>24760</v>
      </c>
      <c r="E32" s="59">
        <f t="shared" si="7"/>
        <v>13922</v>
      </c>
      <c r="F32" s="59">
        <f t="shared" si="7"/>
        <v>2950</v>
      </c>
      <c r="G32" s="59">
        <f t="shared" si="7"/>
        <v>0</v>
      </c>
      <c r="H32" s="59">
        <f t="shared" si="7"/>
        <v>0</v>
      </c>
      <c r="I32" s="59">
        <f t="shared" si="7"/>
        <v>26698</v>
      </c>
      <c r="J32" s="59">
        <f t="shared" si="7"/>
        <v>0</v>
      </c>
      <c r="K32" s="59">
        <f t="shared" si="7"/>
        <v>0</v>
      </c>
      <c r="L32" s="344">
        <f t="shared" si="1"/>
        <v>106863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868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862</v>
      </c>
      <c r="B38" s="19"/>
      <c r="C38" s="15"/>
      <c r="D38" s="591" t="s">
        <v>523</v>
      </c>
      <c r="E38" s="591"/>
      <c r="F38" s="591"/>
      <c r="G38" s="591"/>
      <c r="H38" s="591"/>
      <c r="I38" s="591"/>
      <c r="J38" s="15" t="s">
        <v>863</v>
      </c>
      <c r="K38" s="15"/>
      <c r="L38" s="591"/>
      <c r="M38" s="591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115" zoomScaleNormal="115" workbookViewId="0" topLeftCell="A8">
      <selection activeCell="S39" sqref="S3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385</v>
      </c>
      <c r="B2" s="610"/>
      <c r="C2" s="611" t="str">
        <f>'справка №1-БАЛАНС'!E3</f>
        <v>"МОНБАТ" АД</v>
      </c>
      <c r="D2" s="611"/>
      <c r="E2" s="611"/>
      <c r="F2" s="611"/>
      <c r="G2" s="611"/>
      <c r="H2" s="611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111028849</v>
      </c>
      <c r="P2" s="482"/>
      <c r="Q2" s="482"/>
      <c r="R2" s="524"/>
    </row>
    <row r="3" spans="1:18" ht="15">
      <c r="A3" s="609" t="s">
        <v>5</v>
      </c>
      <c r="B3" s="610"/>
      <c r="C3" s="612" t="str">
        <f>'справка №1-БАЛАНС'!E5</f>
        <v>12.2008 г.</v>
      </c>
      <c r="D3" s="612"/>
      <c r="E3" s="612"/>
      <c r="F3" s="484"/>
      <c r="G3" s="484"/>
      <c r="H3" s="484"/>
      <c r="I3" s="484"/>
      <c r="J3" s="484"/>
      <c r="K3" s="484"/>
      <c r="L3" s="484"/>
      <c r="M3" s="601" t="s">
        <v>4</v>
      </c>
      <c r="N3" s="601"/>
      <c r="O3" s="481" t="str">
        <f>'справка №1-БАЛАНС'!H4</f>
        <v> </v>
      </c>
      <c r="P3" s="485"/>
      <c r="Q3" s="485"/>
      <c r="R3" s="525"/>
    </row>
    <row r="4" spans="1:18" ht="12">
      <c r="A4" s="486" t="s">
        <v>525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526</v>
      </c>
    </row>
    <row r="5" spans="1:18" s="100" customFormat="1" ht="30.75" customHeight="1">
      <c r="A5" s="602" t="s">
        <v>465</v>
      </c>
      <c r="B5" s="603"/>
      <c r="C5" s="606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9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9" t="s">
        <v>531</v>
      </c>
      <c r="R5" s="599" t="s">
        <v>532</v>
      </c>
    </row>
    <row r="6" spans="1:18" s="100" customFormat="1" ht="48">
      <c r="A6" s="604"/>
      <c r="B6" s="605"/>
      <c r="C6" s="607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0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0"/>
      <c r="R6" s="600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4770</v>
      </c>
      <c r="E9" s="189"/>
      <c r="F9" s="189"/>
      <c r="G9" s="74">
        <f>D9+E9-F9</f>
        <v>4770</v>
      </c>
      <c r="H9" s="65"/>
      <c r="I9" s="65"/>
      <c r="J9" s="74">
        <f>G9+H9-I9</f>
        <v>4770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4770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11575</v>
      </c>
      <c r="E10" s="189">
        <v>469</v>
      </c>
      <c r="F10" s="189"/>
      <c r="G10" s="74">
        <f aca="true" t="shared" si="2" ref="G10:G39">D10+E10-F10</f>
        <v>12044</v>
      </c>
      <c r="H10" s="65"/>
      <c r="I10" s="65"/>
      <c r="J10" s="74">
        <f aca="true" t="shared" si="3" ref="J10:J39">G10+H10-I10</f>
        <v>12044</v>
      </c>
      <c r="K10" s="65">
        <v>1470</v>
      </c>
      <c r="L10" s="65">
        <v>268</v>
      </c>
      <c r="M10" s="65"/>
      <c r="N10" s="74">
        <f aca="true" t="shared" si="4" ref="N10:N39">K10+L10-M10</f>
        <v>1738</v>
      </c>
      <c r="O10" s="65"/>
      <c r="P10" s="65"/>
      <c r="Q10" s="74">
        <f t="shared" si="0"/>
        <v>1738</v>
      </c>
      <c r="R10" s="74">
        <f t="shared" si="1"/>
        <v>10306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38259</v>
      </c>
      <c r="E11" s="189">
        <v>5137</v>
      </c>
      <c r="F11" s="189">
        <v>599</v>
      </c>
      <c r="G11" s="74">
        <f t="shared" si="2"/>
        <v>42797</v>
      </c>
      <c r="H11" s="65"/>
      <c r="I11" s="65"/>
      <c r="J11" s="74">
        <f t="shared" si="3"/>
        <v>42797</v>
      </c>
      <c r="K11" s="65">
        <v>23094</v>
      </c>
      <c r="L11" s="65">
        <v>2637</v>
      </c>
      <c r="M11" s="65">
        <v>207</v>
      </c>
      <c r="N11" s="74">
        <f t="shared" si="4"/>
        <v>25524</v>
      </c>
      <c r="O11" s="65"/>
      <c r="P11" s="65"/>
      <c r="Q11" s="74">
        <f t="shared" si="0"/>
        <v>25524</v>
      </c>
      <c r="R11" s="74">
        <f t="shared" si="1"/>
        <v>17273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1779</v>
      </c>
      <c r="E12" s="189">
        <v>1922</v>
      </c>
      <c r="F12" s="189">
        <v>1845</v>
      </c>
      <c r="G12" s="74">
        <f t="shared" si="2"/>
        <v>1856</v>
      </c>
      <c r="H12" s="65"/>
      <c r="I12" s="65"/>
      <c r="J12" s="74">
        <f t="shared" si="3"/>
        <v>1856</v>
      </c>
      <c r="K12" s="65">
        <v>270</v>
      </c>
      <c r="L12" s="65">
        <f>66+5</f>
        <v>71</v>
      </c>
      <c r="M12" s="65"/>
      <c r="N12" s="74">
        <f t="shared" si="4"/>
        <v>341</v>
      </c>
      <c r="O12" s="65"/>
      <c r="P12" s="65"/>
      <c r="Q12" s="74">
        <f t="shared" si="0"/>
        <v>341</v>
      </c>
      <c r="R12" s="74">
        <f t="shared" si="1"/>
        <v>1515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2818</v>
      </c>
      <c r="E13" s="189">
        <v>1091</v>
      </c>
      <c r="F13" s="189">
        <v>640</v>
      </c>
      <c r="G13" s="74">
        <f t="shared" si="2"/>
        <v>3269</v>
      </c>
      <c r="H13" s="65"/>
      <c r="I13" s="65"/>
      <c r="J13" s="74">
        <f t="shared" si="3"/>
        <v>3269</v>
      </c>
      <c r="K13" s="65">
        <v>1265</v>
      </c>
      <c r="L13" s="65">
        <v>380</v>
      </c>
      <c r="M13" s="65">
        <v>75</v>
      </c>
      <c r="N13" s="74">
        <f t="shared" si="4"/>
        <v>1570</v>
      </c>
      <c r="O13" s="65"/>
      <c r="P13" s="65"/>
      <c r="Q13" s="74">
        <f t="shared" si="0"/>
        <v>1570</v>
      </c>
      <c r="R13" s="74">
        <f t="shared" si="1"/>
        <v>1699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2238</v>
      </c>
      <c r="E14" s="189">
        <v>1339</v>
      </c>
      <c r="F14" s="189">
        <v>430</v>
      </c>
      <c r="G14" s="74">
        <f t="shared" si="2"/>
        <v>3147</v>
      </c>
      <c r="H14" s="65"/>
      <c r="I14" s="65"/>
      <c r="J14" s="74">
        <f t="shared" si="3"/>
        <v>3147</v>
      </c>
      <c r="K14" s="65">
        <v>807</v>
      </c>
      <c r="L14" s="65">
        <v>369</v>
      </c>
      <c r="M14" s="65">
        <v>20</v>
      </c>
      <c r="N14" s="74">
        <f t="shared" si="4"/>
        <v>1156</v>
      </c>
      <c r="O14" s="65"/>
      <c r="P14" s="65"/>
      <c r="Q14" s="74">
        <f t="shared" si="0"/>
        <v>1156</v>
      </c>
      <c r="R14" s="74">
        <f t="shared" si="1"/>
        <v>1991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864</v>
      </c>
      <c r="B15" s="374" t="s">
        <v>865</v>
      </c>
      <c r="C15" s="456" t="s">
        <v>866</v>
      </c>
      <c r="D15" s="457">
        <v>5398</v>
      </c>
      <c r="E15" s="457">
        <v>19799</v>
      </c>
      <c r="F15" s="457">
        <v>2809</v>
      </c>
      <c r="G15" s="74">
        <f t="shared" si="2"/>
        <v>22388</v>
      </c>
      <c r="H15" s="458"/>
      <c r="I15" s="458"/>
      <c r="J15" s="74">
        <f t="shared" si="3"/>
        <v>22388</v>
      </c>
      <c r="K15" s="458">
        <v>0</v>
      </c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22388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563</v>
      </c>
      <c r="B16" s="193" t="s">
        <v>564</v>
      </c>
      <c r="C16" s="367" t="s">
        <v>565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66837</v>
      </c>
      <c r="E17" s="194">
        <f>SUM(E9:E16)</f>
        <v>29757</v>
      </c>
      <c r="F17" s="194">
        <f>SUM(F9:F16)</f>
        <v>6323</v>
      </c>
      <c r="G17" s="74">
        <f t="shared" si="2"/>
        <v>90271</v>
      </c>
      <c r="H17" s="75">
        <f>SUM(H9:H16)</f>
        <v>0</v>
      </c>
      <c r="I17" s="75">
        <f>SUM(I9:I16)</f>
        <v>0</v>
      </c>
      <c r="J17" s="74">
        <f t="shared" si="3"/>
        <v>90271</v>
      </c>
      <c r="K17" s="75">
        <f>SUM(K9:K16)</f>
        <v>26906</v>
      </c>
      <c r="L17" s="75">
        <f>SUM(L9:L16)</f>
        <v>3725</v>
      </c>
      <c r="M17" s="75">
        <f>SUM(M9:M16)</f>
        <v>302</v>
      </c>
      <c r="N17" s="74">
        <f t="shared" si="4"/>
        <v>30329</v>
      </c>
      <c r="O17" s="75">
        <f>SUM(O9:O16)</f>
        <v>0</v>
      </c>
      <c r="P17" s="75">
        <f>SUM(P9:P16)</f>
        <v>0</v>
      </c>
      <c r="Q17" s="74">
        <f t="shared" si="5"/>
        <v>30329</v>
      </c>
      <c r="R17" s="74">
        <f t="shared" si="6"/>
        <v>59942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958</v>
      </c>
      <c r="E21" s="189"/>
      <c r="F21" s="189"/>
      <c r="G21" s="74">
        <f t="shared" si="2"/>
        <v>958</v>
      </c>
      <c r="H21" s="65"/>
      <c r="I21" s="65"/>
      <c r="J21" s="74">
        <f t="shared" si="3"/>
        <v>958</v>
      </c>
      <c r="K21" s="65">
        <v>930</v>
      </c>
      <c r="L21" s="65">
        <v>4</v>
      </c>
      <c r="M21" s="65"/>
      <c r="N21" s="74">
        <f t="shared" si="4"/>
        <v>934</v>
      </c>
      <c r="O21" s="65"/>
      <c r="P21" s="65"/>
      <c r="Q21" s="74">
        <f t="shared" si="5"/>
        <v>934</v>
      </c>
      <c r="R21" s="74">
        <f t="shared" si="6"/>
        <v>24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144</v>
      </c>
      <c r="E22" s="189">
        <v>1</v>
      </c>
      <c r="F22" s="189">
        <v>4</v>
      </c>
      <c r="G22" s="74">
        <f t="shared" si="2"/>
        <v>141</v>
      </c>
      <c r="H22" s="65"/>
      <c r="I22" s="65"/>
      <c r="J22" s="74">
        <f t="shared" si="3"/>
        <v>141</v>
      </c>
      <c r="K22" s="65">
        <v>121</v>
      </c>
      <c r="L22" s="65">
        <v>9</v>
      </c>
      <c r="M22" s="65"/>
      <c r="N22" s="74">
        <f t="shared" si="4"/>
        <v>130</v>
      </c>
      <c r="O22" s="65"/>
      <c r="P22" s="65"/>
      <c r="Q22" s="74">
        <f t="shared" si="5"/>
        <v>130</v>
      </c>
      <c r="R22" s="74">
        <f t="shared" si="6"/>
        <v>11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0</v>
      </c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2</v>
      </c>
      <c r="E24" s="189"/>
      <c r="F24" s="189"/>
      <c r="G24" s="74">
        <f t="shared" si="2"/>
        <v>2</v>
      </c>
      <c r="H24" s="65"/>
      <c r="I24" s="65"/>
      <c r="J24" s="74">
        <f t="shared" si="3"/>
        <v>2</v>
      </c>
      <c r="K24" s="65">
        <v>2</v>
      </c>
      <c r="L24" s="65"/>
      <c r="M24" s="65"/>
      <c r="N24" s="74">
        <f t="shared" si="4"/>
        <v>2</v>
      </c>
      <c r="O24" s="65"/>
      <c r="P24" s="65"/>
      <c r="Q24" s="74">
        <f t="shared" si="5"/>
        <v>2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584</v>
      </c>
      <c r="D25" s="190">
        <f>SUM(D21:D24)</f>
        <v>1104</v>
      </c>
      <c r="E25" s="190">
        <f aca="true" t="shared" si="7" ref="E25:P25">SUM(E21:E24)</f>
        <v>1</v>
      </c>
      <c r="F25" s="190">
        <f t="shared" si="7"/>
        <v>4</v>
      </c>
      <c r="G25" s="67">
        <f t="shared" si="2"/>
        <v>1101</v>
      </c>
      <c r="H25" s="66">
        <f t="shared" si="7"/>
        <v>0</v>
      </c>
      <c r="I25" s="66">
        <f t="shared" si="7"/>
        <v>0</v>
      </c>
      <c r="J25" s="67">
        <f t="shared" si="3"/>
        <v>1101</v>
      </c>
      <c r="K25" s="66">
        <f t="shared" si="7"/>
        <v>1053</v>
      </c>
      <c r="L25" s="66">
        <f t="shared" si="7"/>
        <v>13</v>
      </c>
      <c r="M25" s="66">
        <f t="shared" si="7"/>
        <v>0</v>
      </c>
      <c r="N25" s="67">
        <f t="shared" si="4"/>
        <v>1066</v>
      </c>
      <c r="O25" s="66">
        <f t="shared" si="7"/>
        <v>0</v>
      </c>
      <c r="P25" s="66">
        <f t="shared" si="7"/>
        <v>0</v>
      </c>
      <c r="Q25" s="67">
        <f t="shared" si="5"/>
        <v>1066</v>
      </c>
      <c r="R25" s="67">
        <f t="shared" si="6"/>
        <v>35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857</v>
      </c>
      <c r="C27" s="380" t="s">
        <v>587</v>
      </c>
      <c r="D27" s="192">
        <f>SUM(D28:D31)</f>
        <v>8971</v>
      </c>
      <c r="E27" s="192">
        <f aca="true" t="shared" si="8" ref="E27:P27">SUM(E28:E31)</f>
        <v>2543</v>
      </c>
      <c r="F27" s="192">
        <f t="shared" si="8"/>
        <v>0</v>
      </c>
      <c r="G27" s="71">
        <f t="shared" si="2"/>
        <v>11514</v>
      </c>
      <c r="H27" s="70">
        <f t="shared" si="8"/>
        <v>0</v>
      </c>
      <c r="I27" s="70">
        <f t="shared" si="8"/>
        <v>0</v>
      </c>
      <c r="J27" s="71">
        <f t="shared" si="3"/>
        <v>11514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11514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f>4860+4111</f>
        <v>8971</v>
      </c>
      <c r="E28" s="189">
        <v>2543</v>
      </c>
      <c r="F28" s="189"/>
      <c r="G28" s="74">
        <f t="shared" si="2"/>
        <v>11514</v>
      </c>
      <c r="H28" s="65"/>
      <c r="I28" s="65"/>
      <c r="J28" s="74">
        <f t="shared" si="3"/>
        <v>11514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11514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603</v>
      </c>
      <c r="D38" s="194">
        <f>D27+D32+D37</f>
        <v>8971</v>
      </c>
      <c r="E38" s="194">
        <f aca="true" t="shared" si="12" ref="E38:P38">E27+E32+E37</f>
        <v>2543</v>
      </c>
      <c r="F38" s="194">
        <f t="shared" si="12"/>
        <v>0</v>
      </c>
      <c r="G38" s="74">
        <f t="shared" si="2"/>
        <v>11514</v>
      </c>
      <c r="H38" s="75">
        <f t="shared" si="12"/>
        <v>0</v>
      </c>
      <c r="I38" s="75">
        <f t="shared" si="12"/>
        <v>0</v>
      </c>
      <c r="J38" s="74">
        <f t="shared" si="3"/>
        <v>11514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11514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604</v>
      </c>
      <c r="B39" s="370" t="s">
        <v>605</v>
      </c>
      <c r="C39" s="369" t="s">
        <v>606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76912</v>
      </c>
      <c r="E40" s="438">
        <f>E17+E18+E19+E25+E38+E39</f>
        <v>32301</v>
      </c>
      <c r="F40" s="438">
        <f aca="true" t="shared" si="13" ref="F40:R40">F17+F18+F19+F25+F38+F39</f>
        <v>6327</v>
      </c>
      <c r="G40" s="438">
        <f t="shared" si="13"/>
        <v>102886</v>
      </c>
      <c r="H40" s="438">
        <f t="shared" si="13"/>
        <v>0</v>
      </c>
      <c r="I40" s="438">
        <f t="shared" si="13"/>
        <v>0</v>
      </c>
      <c r="J40" s="438">
        <f t="shared" si="13"/>
        <v>102886</v>
      </c>
      <c r="K40" s="438">
        <f t="shared" si="13"/>
        <v>27959</v>
      </c>
      <c r="L40" s="438">
        <f t="shared" si="13"/>
        <v>3738</v>
      </c>
      <c r="M40" s="438">
        <f t="shared" si="13"/>
        <v>302</v>
      </c>
      <c r="N40" s="438">
        <f t="shared" si="13"/>
        <v>31395</v>
      </c>
      <c r="O40" s="438">
        <f t="shared" si="13"/>
        <v>0</v>
      </c>
      <c r="P40" s="438">
        <f t="shared" si="13"/>
        <v>0</v>
      </c>
      <c r="Q40" s="438">
        <f t="shared" si="13"/>
        <v>31395</v>
      </c>
      <c r="R40" s="438">
        <f t="shared" si="13"/>
        <v>71491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8"/>
      <c r="L44" s="608"/>
      <c r="M44" s="608"/>
      <c r="N44" s="608"/>
      <c r="O44" s="597" t="s">
        <v>785</v>
      </c>
      <c r="P44" s="598"/>
      <c r="Q44" s="598"/>
      <c r="R44" s="598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115" zoomScaleNormal="115" workbookViewId="0" topLeftCell="A58">
      <selection activeCell="A44" sqref="A4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612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3"/>
      <c r="F2" s="99"/>
    </row>
    <row r="3" spans="1:15" ht="13.5" customHeight="1">
      <c r="A3" s="492" t="s">
        <v>385</v>
      </c>
      <c r="B3" s="619" t="str">
        <f>'справка №1-БАЛАНС'!E3</f>
        <v>"МОНБАТ" АД</v>
      </c>
      <c r="C3" s="620"/>
      <c r="D3" s="524" t="s">
        <v>2</v>
      </c>
      <c r="E3" s="107">
        <f>'справка №1-БАЛАНС'!H3</f>
        <v>111028849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7" t="str">
        <f>'справка №1-БАЛАНС'!E5</f>
        <v>12.2008 г.</v>
      </c>
      <c r="C4" s="618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613</v>
      </c>
      <c r="B5" s="495"/>
      <c r="C5" s="496"/>
      <c r="D5" s="107"/>
      <c r="E5" s="497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14542</v>
      </c>
      <c r="D11" s="119">
        <f>SUM(D12:D14)</f>
        <v>0</v>
      </c>
      <c r="E11" s="120">
        <f>SUM(E12:E14)</f>
        <v>14542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>
        <v>10346</v>
      </c>
      <c r="D12" s="108"/>
      <c r="E12" s="120">
        <f aca="true" t="shared" si="0" ref="E12:E42">C12-D12</f>
        <v>10346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>
        <v>4196</v>
      </c>
      <c r="D14" s="108"/>
      <c r="E14" s="120">
        <f t="shared" si="0"/>
        <v>4196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14542</v>
      </c>
      <c r="D19" s="104">
        <f>D11+D15+D16</f>
        <v>0</v>
      </c>
      <c r="E19" s="118">
        <f>E11+E15+E16</f>
        <v>14542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7301</v>
      </c>
      <c r="D24" s="119">
        <f>SUM(D25:D27)</f>
        <v>7301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/>
      <c r="D25" s="108"/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7301</v>
      </c>
      <c r="D26" s="108">
        <v>7301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17205</v>
      </c>
      <c r="D28" s="108">
        <v>17205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475</v>
      </c>
      <c r="D29" s="108">
        <v>475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1307</v>
      </c>
      <c r="D33" s="105">
        <f>SUM(D34:D37)</f>
        <v>1307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1135</v>
      </c>
      <c r="D35" s="108">
        <v>1135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v>172</v>
      </c>
      <c r="D37" s="108">
        <v>172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2347</v>
      </c>
      <c r="D38" s="105">
        <f>SUM(D39:D42)</f>
        <v>2347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>
        <v>3</v>
      </c>
      <c r="D40" s="108">
        <v>3</v>
      </c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2344</v>
      </c>
      <c r="D42" s="108">
        <v>2344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28635</v>
      </c>
      <c r="D43" s="104">
        <f>D24+D28+D29+D31+D30+D32+D33+D38</f>
        <v>28635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43177</v>
      </c>
      <c r="D44" s="103">
        <f>D43+D21+D19+D9</f>
        <v>28635</v>
      </c>
      <c r="E44" s="118">
        <f>E43+E21+E19+E9</f>
        <v>14542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21477</v>
      </c>
      <c r="D56" s="103">
        <f>D57+D59</f>
        <v>0</v>
      </c>
      <c r="E56" s="119">
        <f t="shared" si="1"/>
        <v>21477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21477</v>
      </c>
      <c r="D57" s="108"/>
      <c r="E57" s="119">
        <f t="shared" si="1"/>
        <v>21477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>
        <v>1711</v>
      </c>
      <c r="D62" s="108"/>
      <c r="E62" s="119">
        <f t="shared" si="1"/>
        <v>1711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23188</v>
      </c>
      <c r="D66" s="103">
        <f>D52+D56+D61+D62+D63+D64</f>
        <v>0</v>
      </c>
      <c r="E66" s="119">
        <f t="shared" si="1"/>
        <v>23188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2214</v>
      </c>
      <c r="D68" s="108"/>
      <c r="E68" s="119">
        <f t="shared" si="1"/>
        <v>2214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3519</v>
      </c>
      <c r="D71" s="105">
        <f>SUM(D72:D74)</f>
        <v>3519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3307</v>
      </c>
      <c r="D72" s="108">
        <v>3307</v>
      </c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>
        <v>212</v>
      </c>
      <c r="D74" s="108">
        <v>212</v>
      </c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5867</v>
      </c>
      <c r="D75" s="103">
        <f>D76+D78</f>
        <v>5867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5867</v>
      </c>
      <c r="D76" s="108">
        <v>5867</v>
      </c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10537</v>
      </c>
      <c r="D85" s="104">
        <f>SUM(D86:D90)+D94</f>
        <v>10537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7394</v>
      </c>
      <c r="D87" s="108">
        <v>7394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>
        <v>36</v>
      </c>
      <c r="D88" s="108">
        <v>36</v>
      </c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617</v>
      </c>
      <c r="D89" s="108">
        <v>617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2035</v>
      </c>
      <c r="D90" s="103">
        <f>SUM(D91:D93)</f>
        <v>2035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1187</v>
      </c>
      <c r="D91" s="108">
        <v>1187</v>
      </c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f>716+118+14</f>
        <v>848</v>
      </c>
      <c r="D93" s="108">
        <f>716+118+14</f>
        <v>848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455</v>
      </c>
      <c r="D94" s="108">
        <v>455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62</v>
      </c>
      <c r="D95" s="108">
        <v>62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19985</v>
      </c>
      <c r="D96" s="104">
        <f>D85+D80+D75+D71+D95</f>
        <v>19985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45387</v>
      </c>
      <c r="D97" s="104">
        <f>D96+D68+D66</f>
        <v>19985</v>
      </c>
      <c r="E97" s="104">
        <f>E96+E68+E66</f>
        <v>25402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783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784</v>
      </c>
      <c r="B109" s="614"/>
      <c r="C109" s="614" t="s">
        <v>383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20" sqref="C20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385</v>
      </c>
      <c r="B4" s="621" t="str">
        <f>'справка №1-БАЛАНС'!E3</f>
        <v>"МОНБАТ" АД</v>
      </c>
      <c r="C4" s="621"/>
      <c r="D4" s="621"/>
      <c r="E4" s="621"/>
      <c r="F4" s="621"/>
      <c r="G4" s="627" t="s">
        <v>2</v>
      </c>
      <c r="H4" s="627"/>
      <c r="I4" s="499">
        <f>'справка №1-БАЛАНС'!H3</f>
        <v>111028849</v>
      </c>
    </row>
    <row r="5" spans="1:9" ht="15">
      <c r="A5" s="500" t="s">
        <v>5</v>
      </c>
      <c r="B5" s="622" t="str">
        <f>'справка №1-БАЛАНС'!E5</f>
        <v>12.2008 г.</v>
      </c>
      <c r="C5" s="622"/>
      <c r="D5" s="622"/>
      <c r="E5" s="622"/>
      <c r="F5" s="622"/>
      <c r="G5" s="625" t="s">
        <v>4</v>
      </c>
      <c r="H5" s="626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788</v>
      </c>
    </row>
    <row r="7" spans="1:9" s="518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798</v>
      </c>
      <c r="B19" s="90" t="s">
        <v>808</v>
      </c>
      <c r="C19" s="98">
        <v>10524138</v>
      </c>
      <c r="D19" s="98"/>
      <c r="E19" s="98"/>
      <c r="F19" s="98">
        <v>11514</v>
      </c>
      <c r="G19" s="98"/>
      <c r="H19" s="98"/>
      <c r="I19" s="434">
        <f t="shared" si="0"/>
        <v>11514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809</v>
      </c>
      <c r="B20" s="90" t="s">
        <v>810</v>
      </c>
      <c r="C20" s="98">
        <v>466722</v>
      </c>
      <c r="D20" s="98"/>
      <c r="E20" s="98"/>
      <c r="F20" s="98">
        <v>467</v>
      </c>
      <c r="G20" s="98"/>
      <c r="H20" s="98"/>
      <c r="I20" s="434">
        <f t="shared" si="0"/>
        <v>467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583</v>
      </c>
      <c r="B26" s="92" t="s">
        <v>821</v>
      </c>
      <c r="C26" s="85">
        <f aca="true" t="shared" si="2" ref="C26:H26">SUM(C19:C25)</f>
        <v>10990860</v>
      </c>
      <c r="D26" s="85">
        <f t="shared" si="2"/>
        <v>0</v>
      </c>
      <c r="E26" s="85">
        <f t="shared" si="2"/>
        <v>0</v>
      </c>
      <c r="F26" s="85">
        <f t="shared" si="2"/>
        <v>11981</v>
      </c>
      <c r="G26" s="85">
        <f t="shared" si="2"/>
        <v>0</v>
      </c>
      <c r="H26" s="85">
        <f t="shared" si="2"/>
        <v>0</v>
      </c>
      <c r="I26" s="434">
        <f t="shared" si="0"/>
        <v>11981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784</v>
      </c>
      <c r="B30" s="624"/>
      <c r="C30" s="624"/>
      <c r="D30" s="459" t="s">
        <v>823</v>
      </c>
      <c r="E30" s="623"/>
      <c r="F30" s="623"/>
      <c r="G30" s="623"/>
      <c r="H30" s="420" t="s">
        <v>785</v>
      </c>
      <c r="I30" s="623"/>
      <c r="J30" s="623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37" bottom="0.4724409448818898" header="0.19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4">
      <selection activeCell="C84" sqref="C84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8" t="str">
        <f>'справка №1-БАЛАНС'!E3</f>
        <v>"МОНБАТ" АД</v>
      </c>
      <c r="C5" s="628"/>
      <c r="D5" s="628"/>
      <c r="E5" s="568" t="s">
        <v>2</v>
      </c>
      <c r="F5" s="451">
        <f>'справка №1-БАЛАНС'!H3</f>
        <v>111028849</v>
      </c>
    </row>
    <row r="6" spans="1:13" ht="15" customHeight="1">
      <c r="A6" s="27" t="s">
        <v>826</v>
      </c>
      <c r="B6" s="629" t="str">
        <f>'справка №1-БАЛАНС'!E5</f>
        <v>12.2008 г.</v>
      </c>
      <c r="C6" s="629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873</v>
      </c>
      <c r="B12" s="37"/>
      <c r="C12" s="441">
        <v>4483</v>
      </c>
      <c r="D12" s="575">
        <v>91.11</v>
      </c>
      <c r="E12" s="441"/>
      <c r="F12" s="443">
        <f>C12-E12</f>
        <v>4483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835</v>
      </c>
      <c r="C27" s="429">
        <f>SUM(C12:C26)</f>
        <v>4483</v>
      </c>
      <c r="D27" s="429"/>
      <c r="E27" s="429">
        <f>SUM(E12:E26)</f>
        <v>0</v>
      </c>
      <c r="F27" s="442">
        <f>SUM(F12:F26)</f>
        <v>4483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843</v>
      </c>
      <c r="B79" s="39" t="s">
        <v>844</v>
      </c>
      <c r="C79" s="429">
        <f>C78+C61+C44+C27</f>
        <v>4483</v>
      </c>
      <c r="D79" s="429"/>
      <c r="E79" s="429">
        <f>E78+E61+E44+E27</f>
        <v>0</v>
      </c>
      <c r="F79" s="442">
        <f>F78+F61+F44+F27</f>
        <v>4483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871</v>
      </c>
      <c r="B82" s="40"/>
      <c r="C82" s="441">
        <v>4469</v>
      </c>
      <c r="D82" s="441">
        <v>100</v>
      </c>
      <c r="E82" s="441"/>
      <c r="F82" s="443">
        <f>C82-E82</f>
        <v>4469</v>
      </c>
    </row>
    <row r="83" spans="1:6" ht="12.75">
      <c r="A83" s="36" t="s">
        <v>872</v>
      </c>
      <c r="B83" s="40"/>
      <c r="C83" s="441">
        <v>2562</v>
      </c>
      <c r="D83" s="441">
        <v>100</v>
      </c>
      <c r="E83" s="441"/>
      <c r="F83" s="443">
        <f aca="true" t="shared" si="4" ref="F83:F96">C83-E83</f>
        <v>2562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846</v>
      </c>
      <c r="C97" s="429">
        <f>SUM(C82:C96)</f>
        <v>7031</v>
      </c>
      <c r="D97" s="429"/>
      <c r="E97" s="429">
        <f>SUM(E82:E96)</f>
        <v>0</v>
      </c>
      <c r="F97" s="442">
        <f>SUM(F82:F96)</f>
        <v>7031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850</v>
      </c>
      <c r="B149" s="39" t="s">
        <v>851</v>
      </c>
      <c r="C149" s="429">
        <f>C148+C131+C114+C97</f>
        <v>7031</v>
      </c>
      <c r="D149" s="429"/>
      <c r="E149" s="429">
        <f>E148+E131+E114+E97</f>
        <v>0</v>
      </c>
      <c r="F149" s="442">
        <f>F148+F131+F114+F97</f>
        <v>7031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0" t="s">
        <v>853</v>
      </c>
      <c r="D151" s="630"/>
      <c r="E151" s="630"/>
      <c r="F151" s="630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0" t="s">
        <v>861</v>
      </c>
      <c r="D153" s="630"/>
      <c r="E153" s="630"/>
      <c r="F153" s="630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2009-01-28T11:40:09Z</cp:lastPrinted>
  <dcterms:created xsi:type="dcterms:W3CDTF">2000-06-29T12:02:40Z</dcterms:created>
  <dcterms:modified xsi:type="dcterms:W3CDTF">2009-01-28T11:46:06Z</dcterms:modified>
  <cp:category/>
  <cp:version/>
  <cp:contentType/>
  <cp:contentStatus/>
</cp:coreProperties>
</file>