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<sst xmlns="http://schemas.openxmlformats.org/spreadsheetml/2006/main" count="1983" uniqueCount="694">
  <si>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</si>
  <si>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</si>
  <si>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</si>
  <si>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</si>
  <si>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</si>
  <si>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</si>
  <si>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</si>
  <si>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</si>
  <si>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</si>
  <si>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</si>
  <si>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</si>
  <si>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</si>
  <si>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</si>
  <si>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</si>
  <si>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</si>
  <si>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</si>
  <si>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</si>
  <si>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</si>
  <si>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</si>
  <si>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</si>
  <si>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</si>
  <si>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</si>
  <si>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</si>
  <si>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</si>
  <si>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</si>
  <si>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</si>
  <si>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</si>
  <si>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</si>
  <si>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</si>
  <si>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</si>
  <si>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</si>
  <si>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</si>
  <si>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</si>
  <si>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</si>
  <si>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</si>
  <si>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</si>
  <si>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</si>
  <si>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</si>
  <si>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</si>
  <si>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</si>
  <si>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</si>
  <si>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</si>
  <si>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</si>
  <si>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</si>
  <si>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</si>
  <si>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</si>
  <si>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</si>
  <si>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</si>
  <si>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</si>
  <si>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</si>
  <si>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</si>
  <si>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</si>
  <si>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</si>
  <si>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</si>
  <si>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</si>
  <si>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</si>
  <si>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</si>
  <si>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</si>
  <si>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</si>
  <si>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</si>
  <si>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</si>
  <si>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</si>
  <si>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</si>
  <si>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</si>
  <si>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</si>
  <si>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</si>
  <si>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</si>
  <si>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</si>
  <si>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</si>
  <si>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</si>
  <si>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</si>
  <si>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</si>
  <si>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</si>
  <si>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</si>
  <si>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</si>
  <si>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</si>
  <si>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</si>
  <si>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</si>
  <si>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</si>
  <si>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</si>
  <si>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</si>
  <si>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</si>
  <si>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</si>
  <si>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</si>
  <si>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</si>
  <si>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</si>
  <si>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</si>
  <si>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</si>
  <si>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</si>
  <si>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</si>
  <si>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</si>
  <si>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</si>
  <si>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</si>
  <si>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</si>
  <si>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</si>
  <si>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</si>
  <si>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</si>
  <si>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</si>
  <si>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</si>
  <si>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</si>
  <si>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</si>
  <si>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</si>
  <si>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</si>
  <si>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</si>
  <si>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</si>
  <si>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</si>
  <si>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</si>
  <si>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</si>
  <si>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</si>
  <si>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</si>
  <si>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</si>
  <si>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</si>
  <si>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</si>
  <si>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</si>
  <si>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</si>
  <si>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</si>
  <si>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</si>
  <si>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</si>
  <si>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</si>
  <si>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</si>
  <si>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</si>
  <si>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</si>
  <si>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</si>
  <si>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</si>
  <si>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</si>
  <si>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</si>
  <si>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</si>
  <si>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</si>
  <si>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</si>
  <si>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</si>
  <si>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</si>
  <si>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</si>
  <si>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</si>
  <si>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</si>
  <si>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</si>
  <si>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</si>
  <si>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</si>
  <si>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</si>
  <si>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</si>
  <si>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</si>
  <si>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</si>
  <si>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</si>
  <si>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</si>
  <si>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</si>
  <si>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</si>
  <si>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</si>
  <si>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</si>
  <si>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</si>
  <si>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</si>
  <si>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</si>
  <si>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</si>
  <si>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</si>
  <si>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</si>
  <si>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</si>
  <si>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</si>
  <si>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</si>
  <si>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</si>
  <si>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</si>
  <si>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</si>
  <si>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</si>
  <si>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</si>
  <si>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</si>
  <si>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</si>
  <si>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</si>
  <si>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</si>
  <si>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</si>
  <si>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</si>
  <si>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</si>
  <si>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</si>
  <si>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</si>
  <si>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</si>
  <si>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</si>
  <si>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</si>
  <si>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</si>
  <si>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</si>
  <si>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</si>
  <si>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</si>
  <si>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</si>
  <si>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</si>
  <si>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</si>
  <si>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</si>
  <si>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</si>
  <si>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</si>
  <si>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</si>
  <si>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</si>
  <si>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</si>
  <si>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</si>
  <si>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</si>
  <si>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</si>
  <si>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</si>
  <si>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</si>
  <si>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</si>
  <si>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</si>
  <si>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</si>
  <si>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</si>
  <si>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</si>
  <si>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</si>
  <si>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</si>
  <si>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</si>
  <si>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</si>
  <si>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</si>
  <si>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</si>
  <si>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</si>
  <si>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</si>
  <si>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</si>
  <si>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</si>
  <si>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</si>
  <si>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</si>
  <si>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</si>
  <si>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</si>
  <si>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</si>
  <si>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</si>
  <si>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</si>
  <si>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</si>
  <si>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</si>
  <si>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</si>
  <si>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</si>
  <si>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</si>
  <si>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</si>
  <si>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</si>
  <si>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</si>
  <si>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</si>
  <si>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</si>
  <si>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</si>
  <si>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</si>
  <si>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</si>
  <si>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</si>
  <si>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</si>
  <si>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</si>
  <si>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</si>
  <si>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</si>
  <si>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</si>
  <si>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</si>
  <si>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</si>
  <si>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</si>
  <si>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</si>
  <si>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</si>
  <si>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</si>
  <si>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</si>
  <si>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</si>
  <si>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</si>
  <si>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</si>
  <si>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</si>
  <si>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</si>
  <si>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</si>
  <si>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</si>
  <si>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</si>
  <si>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</si>
  <si>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</si>
  <si>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</si>
  <si>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</si>
  <si>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</si>
  <si>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</si>
  <si>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</si>
  <si>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</si>
  <si>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</si>
  <si>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</si>
  <si>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</si>
  <si>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</si>
  <si>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</si>
  <si>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</si>
  <si>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</si>
  <si>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</si>
  <si>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</si>
  <si>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</si>
  <si>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</si>
  <si>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</si>
  <si>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</si>
  <si>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</si>
  <si>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</si>
  <si>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</si>
  <si>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</si>
  <si>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</si>
  <si>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</si>
  <si>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</si>
  <si>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</si>
  <si>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</si>
  <si>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</si>
  <si>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</si>
  <si>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</si>
  <si>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</si>
  <si>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</si>
  <si>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</si>
  <si>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</si>
  <si>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</si>
  <si>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</si>
  <si>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</si>
  <si>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</si>
  <si>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</si>
  <si>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</si>
  <si>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</si>
  <si>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</si>
  <si>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</si>
  <si>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</si>
  <si>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</si>
  <si>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</si>
  <si>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</si>
  <si>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</si>
  <si>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</si>
  <si>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</si>
  <si>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</si>
  <si>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</si>
  <si>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</si>
  <si>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</si>
  <si>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</si>
  <si>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</si>
  <si>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</si>
  <si>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</si>
  <si>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</si>
  <si>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</si>
  <si>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</si>
  <si>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</si>
  <si>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</si>
  <si>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</si>
  <si>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</si>
  <si>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</si>
  <si>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</si>
  <si>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</si>
  <si>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</si>
  <si>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</si>
  <si>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</si>
  <si>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</si>
  <si>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</si>
  <si>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</si>
  <si>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</si>
  <si>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</si>
  <si>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</si>
  <si>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</si>
  <si>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</si>
  <si>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</si>
  <si>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</si>
  <si>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</si>
  <si>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</si>
  <si>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</si>
  <si>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</si>
  <si>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</si>
  <si>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</si>
  <si>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</si>
  <si>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</si>
  <si>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</si>
  <si>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</si>
  <si>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</si>
  <si>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</si>
  <si>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</si>
  <si>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</si>
  <si>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</si>
  <si>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</si>
  <si>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</si>
  <si>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</si>
  <si>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</si>
  <si>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</si>
  <si>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</si>
  <si>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</si>
  <si>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</si>
  <si>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</si>
  <si>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</si>
  <si>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</si>
  <si>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</si>
  <si>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</si>
  <si>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</si>
  <si>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</si>
  <si>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</si>
  <si>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</si>
  <si>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</si>
  <si>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</si>
  <si>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</si>
  <si>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</si>
  <si>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</si>
  <si>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</si>
  <si>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</si>
  <si>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</si>
  <si>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</si>
  <si>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</si>
  <si>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</si>
  <si>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</si>
  <si>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</si>
  <si>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</si>
  <si>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</si>
  <si>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</si>
  <si>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</si>
  <si>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</si>
  <si>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</si>
  <si>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</si>
  <si>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</si>
  <si>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</si>
  <si>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</si>
  <si>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</si>
  <si>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</si>
  <si>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</si>
  <si>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</si>
  <si>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</si>
  <si>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</si>
  <si>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</si>
  <si>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</si>
  <si>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</si>
  <si>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</si>
  <si>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</si>
  <si>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</si>
  <si>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</si>
  <si>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</si>
  <si>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</si>
  <si>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</si>
  <si>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</si>
  <si>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</si>
  <si>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</si>
  <si>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</si>
  <si>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</si>
  <si>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</si>
  <si>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</si>
  <si>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</si>
  <si>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</si>
  <si>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</si>
  <si>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</si>
  <si>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</si>
  <si>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</si>
  <si>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</si>
  <si>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</si>
  <si>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</si>
  <si>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</si>
  <si>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</si>
  <si>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</si>
  <si>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</si>
  <si>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</si>
  <si>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</si>
  <si>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</si>
  <si>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</si>
  <si>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</si>
  <si>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</si>
  <si>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</si>
  <si>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</si>
  <si>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</si>
  <si>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</si>
  <si>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</si>
  <si>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</si>
  <si>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</si>
  <si>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</si>
  <si>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</si>
  <si>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</si>
  <si>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</si>
  <si>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</si>
  <si>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</si>
  <si>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</si>
  <si>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</si>
  <si>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</si>
  <si>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</si>
  <si>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</si>
  <si>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</si>
  <si>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</si>
  <si>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</si>
  <si>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</si>
  <si>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</si>
  <si>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</si>
  <si>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</si>
  <si>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</si>
  <si>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</si>
  <si>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</si>
  <si>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</si>
  <si>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</si>
  <si>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</si>
  <si>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</si>
  <si>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</si>
  <si>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</si>
  <si>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</si>
  <si>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</si>
  <si>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</si>
  <si>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</si>
  <si>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</si>
  <si>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</si>
  <si>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</si>
  <si>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</si>
  <si>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</si>
  <si>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</si>
  <si>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</si>
  <si>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</si>
  <si>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</si>
  <si>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</si>
  <si>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</si>
  <si>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</si>
  <si>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</si>
  <si>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</si>
  <si>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</si>
  <si>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</si>
  <si>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</si>
  <si>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</si>
  <si>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</si>
  <si>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</si>
  <si>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</si>
  <si>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</si>
  <si>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</si>
  <si>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</si>
  <si>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</si>
  <si>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</si>
  <si>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</si>
  <si>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</si>
  <si>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</si>
  <si>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</si>
  <si>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</si>
  <si>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</si>
  <si>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</si>
  <si>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</si>
  <si>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</si>
  <si>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</si>
  <si>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</si>
  <si>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</si>
  <si>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</si>
  <si>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</si>
  <si>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</si>
  <si>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</si>
  <si>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</si>
  <si>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</si>
  <si>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</si>
  <si>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</si>
  <si>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</si>
  <si>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</si>
  <si>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</si>
  <si>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</si>
  <si>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</si>
  <si>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</si>
  <si>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</si>
  <si>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</si>
  <si>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</si>
  <si>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</si>
  <si>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</si>
  <si>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</si>
  <si>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</si>
  <si>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</si>
  <si>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</si>
  <si>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</si>
  <si>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</si>
  <si>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</si>
  <si>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</si>
  <si>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</si>
  <si>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</si>
  <si>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</si>
  <si>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</si>
  <si>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</si>
  <si>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</si>
  <si>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</si>
  <si>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</si>
  <si>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</si>
  <si>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</si>
  <si>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</si>
  <si>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</si>
  <si>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</si>
  <si>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</si>
  <si>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</si>
  <si>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</si>
  <si>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</si>
  <si>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</si>
  <si>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</si>
  <si>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</si>
  <si>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</si>
  <si>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</si>
  <si>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</si>
  <si>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</si>
  <si>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</si>
  <si>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</si>
  <si>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</si>
  <si>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</si>
  <si>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</si>
  <si>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</si>
  <si>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</si>
  <si>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</si>
  <si>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</si>
  <si>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</si>
  <si>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</si>
  <si>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</si>
  <si>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</si>
  <si>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</si>
  <si>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</si>
  <si>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</si>
  <si>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</si>
  <si>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</si>
  <si>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</si>
  <si>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</si>
  <si>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</si>
  <si>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</si>
  <si>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</si>
  <si>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</si>
  <si>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</si>
  <si>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</si>
  <si>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</si>
  <si>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</si>
  <si>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</si>
  <si>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</si>
  <si>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</si>
  <si>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</si>
  <si>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</si>
  <si>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</si>
  <si>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</si>
  <si>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</si>
  <si>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</si>
  <si>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</si>
  <si>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</si>
  <si>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</si>
  <si>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</si>
  <si>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</si>
  <si>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</si>
  <si>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</si>
  <si>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</si>
  <si>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</si>
  <si>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</si>
  <si>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</si>
  <si>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</si>
  <si>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</si>
  <si>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</si>
  <si>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</si>
  <si>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</si>
  <si>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</si>
  <si>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</si>
  <si>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</si>
  <si>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</si>
  <si>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</si>
  <si>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</si>
  <si>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</si>
  <si>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</si>
  <si>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</si>
  <si>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</si>
  <si>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</si>
  <si>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</si>
  <si>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</si>
  <si>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</si>
  <si>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</si>
  <si>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</si>
  <si>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</si>
  <si>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</si>
  <si>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</si>
  <si>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</si>
  <si>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</si>
  <si>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</si>
  <si>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</si>
  <si>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</si>
  <si>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</si>
  <si>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</si>
  <si>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</si>
  <si>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</si>
  <si>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</si>
  <si>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</si>
  <si>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</si>
  <si>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</si>
  <si>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</si>
  <si>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</si>
  <si>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</si>
  <si>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</si>
  <si>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</si>
  <si>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</si>
  <si>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</si>
  <si>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</si>
  <si>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</si>
  <si>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</si>
  <si>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</si>
  <si>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</si>
  <si>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</si>
  <si>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</si>
  <si>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</si>
  <si>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</si>
  <si>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</si>
  <si>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</si>
  <si>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</si>
  <si>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</si>
  <si>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</si>
  <si>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</si>
  <si>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</si>
  <si>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</si>
  <si>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</si>
  <si>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</si>
  <si>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</si>
  <si>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</si>
  <si>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</si>
  <si>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</si>
  <si>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</si>
  <si>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</si>
  <si>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</si>
  <si>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</si>
  <si>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</si>
  <si>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</si>
  <si>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</si>
  <si>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</si>
  <si>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</si>
  <si>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</si>
  <si>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</si>
  <si>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</si>
  <si>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</si>
  <si>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</si>
  <si>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</si>
  <si>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</si>
  <si>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</si>
  <si>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</si>
  <si>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</si>
  <si>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</si>
  <si>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ТОДОРОВ - АГРО ЕООД</t>
  </si>
  <si>
    <t>www.investor.bg</t>
  </si>
  <si>
    <t>Ръководител, 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</si>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</sst>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43555</v>
      </c>
    </row>
    <row r="2" spans="1:27" ht="15.75">
      <c r="A2" s="464" t="s">
        <v>679</v>
      </c>
      <c r="B2" s="459"/>
      <c r="Z2" s="476">
        <v>2</v>
      </c>
      <c r="AA2" s="477">
        <f>IF(ISBLANK(_pdeReportingDate),"",_pdeReportingDate)</f>
        <v>43580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Николай Димитров Колев</v>
      </c>
    </row>
    <row r="4" spans="1:2" ht="15.75">
      <c r="A4" s="458" t="s">
        <v>680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43555</v>
      </c>
    </row>
    <row r="11" spans="1:2" ht="15.75">
      <c r="A11" s="7" t="s">
        <v>668</v>
      </c>
      <c r="B11" s="356">
        <v>43580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681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682</v>
      </c>
    </row>
    <row r="17" spans="1:2" ht="15.75">
      <c r="A17" s="7" t="s">
        <v>614</v>
      </c>
      <c r="B17" s="355" t="s">
        <v>683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693</v>
      </c>
    </row>
    <row r="20" spans="1:2" ht="15.75">
      <c r="A20" s="7" t="s">
        <v>5</v>
      </c>
      <c r="B20" s="355" t="s">
        <v>693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 t="s">
        <v>686</v>
      </c>
    </row>
    <row r="23" spans="1:2" ht="15.75">
      <c r="A23" s="10" t="s">
        <v>7</v>
      </c>
      <c r="B23" s="466" t="s">
        <v>687</v>
      </c>
    </row>
    <row r="24" spans="1:2" ht="15.75">
      <c r="A24" s="10" t="s">
        <v>612</v>
      </c>
      <c r="B24" s="467" t="s">
        <v>688</v>
      </c>
    </row>
    <row r="25" spans="1:2" ht="15.75">
      <c r="A25" s="7" t="s">
        <v>615</v>
      </c>
      <c r="B25" s="468" t="s">
        <v>691</v>
      </c>
    </row>
    <row r="26" spans="1:2" ht="15.75">
      <c r="A26" s="10" t="s">
        <v>661</v>
      </c>
      <c r="B26" s="357" t="s">
        <v>689</v>
      </c>
    </row>
    <row r="27" spans="1:2" ht="15.75">
      <c r="A27" s="10" t="s">
        <v>662</v>
      </c>
      <c r="B27" s="357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f>171</f>
        <v>171</v>
      </c>
      <c r="D12" s="138">
        <v>171</v>
      </c>
      <c r="E12" s="76" t="s">
        <v>25</v>
      </c>
      <c r="F12" s="80" t="s">
        <v>26</v>
      </c>
      <c r="G12" s="138">
        <f>3400</f>
        <v>3400</v>
      </c>
      <c r="H12" s="137">
        <v>3400</v>
      </c>
    </row>
    <row r="13" spans="1:8" ht="15.75">
      <c r="A13" s="76" t="s">
        <v>27</v>
      </c>
      <c r="B13" s="78" t="s">
        <v>28</v>
      </c>
      <c r="C13" s="138">
        <f>715</f>
        <v>715</v>
      </c>
      <c r="D13" s="138">
        <v>717</v>
      </c>
      <c r="E13" s="76" t="s">
        <v>553</v>
      </c>
      <c r="F13" s="80" t="s">
        <v>29</v>
      </c>
      <c r="G13" s="138">
        <f>3400</f>
        <v>3400</v>
      </c>
      <c r="H13" s="137">
        <v>3400</v>
      </c>
    </row>
    <row r="14" spans="1:8" ht="15.75">
      <c r="A14" s="76" t="s">
        <v>30</v>
      </c>
      <c r="B14" s="78" t="s">
        <v>31</v>
      </c>
      <c r="C14" s="138">
        <v>1</v>
      </c>
      <c r="D14" s="138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10</f>
        <v>10</v>
      </c>
      <c r="D17" s="138">
        <v>11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1" t="s">
        <v>47</v>
      </c>
      <c r="F18" s="270" t="s">
        <v>48</v>
      </c>
      <c r="G18" s="387">
        <f>G12+G15+G16+G17</f>
        <v>3400</v>
      </c>
      <c r="H18" s="388">
        <f>H12+H15+H16+H17</f>
        <v>3400</v>
      </c>
    </row>
    <row r="19" spans="1:8" ht="15.75">
      <c r="A19" s="76" t="s">
        <v>49</v>
      </c>
      <c r="B19" s="78" t="s">
        <v>50</v>
      </c>
      <c r="C19" s="138">
        <f>36</f>
        <v>36</v>
      </c>
      <c r="D19" s="138">
        <v>36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933</v>
      </c>
      <c r="D20" s="376">
        <f>SUM(D12:D19)</f>
        <v>936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f>185</f>
        <v>185</v>
      </c>
      <c r="D21" s="267">
        <f>185</f>
        <v>185</v>
      </c>
      <c r="E21" s="76" t="s">
        <v>58</v>
      </c>
      <c r="F21" s="80" t="s">
        <v>59</v>
      </c>
      <c r="G21" s="138">
        <f>210</f>
        <v>210</v>
      </c>
      <c r="H21" s="137">
        <v>210</v>
      </c>
    </row>
    <row r="22" spans="1:13" ht="15.75">
      <c r="A22" s="87" t="s">
        <v>60</v>
      </c>
      <c r="B22" s="84" t="s">
        <v>61</v>
      </c>
      <c r="C22" s="267">
        <f>173</f>
        <v>173</v>
      </c>
      <c r="D22" s="267">
        <f>173</f>
        <v>173</v>
      </c>
      <c r="E22" s="142" t="s">
        <v>62</v>
      </c>
      <c r="F22" s="80" t="s">
        <v>63</v>
      </c>
      <c r="G22" s="391">
        <f>SUM(G23:G25)</f>
        <v>498</v>
      </c>
      <c r="H22" s="392">
        <f>SUM(H23:H25)</f>
        <v>498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f>1</f>
        <v>1</v>
      </c>
      <c r="D24" s="138">
        <v>1</v>
      </c>
      <c r="E24" s="143" t="s">
        <v>69</v>
      </c>
      <c r="F24" s="80" t="s">
        <v>70</v>
      </c>
      <c r="G24" s="138">
        <f>498</f>
        <v>498</v>
      </c>
      <c r="H24" s="137">
        <v>498</v>
      </c>
      <c r="M24" s="85"/>
    </row>
    <row r="25" spans="1:8" ht="15.75">
      <c r="A25" s="76" t="s">
        <v>71</v>
      </c>
      <c r="B25" s="78" t="s">
        <v>72</v>
      </c>
      <c r="C25" s="138"/>
      <c r="D25" s="138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708</v>
      </c>
      <c r="H26" s="376">
        <f>H20+H21+H22</f>
        <v>708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8">
        <v>4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5</v>
      </c>
      <c r="D28" s="376">
        <f>SUM(D24:D27)</f>
        <v>6</v>
      </c>
      <c r="E28" s="143" t="s">
        <v>84</v>
      </c>
      <c r="F28" s="80" t="s">
        <v>85</v>
      </c>
      <c r="G28" s="373">
        <f>SUM(G29:G31)</f>
        <v>-3872</v>
      </c>
      <c r="H28" s="374">
        <f>SUM(H29:H31)</f>
        <v>-3805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650</v>
      </c>
      <c r="H29" s="138">
        <v>650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-4522</v>
      </c>
      <c r="H30" s="138">
        <v>-4455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-102</f>
        <v>-102</v>
      </c>
      <c r="H33" s="138">
        <v>-67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-3974</v>
      </c>
      <c r="H34" s="376">
        <f>H28+H32+H33</f>
        <v>-3872</v>
      </c>
    </row>
    <row r="35" spans="1:8" ht="15.75">
      <c r="A35" s="76" t="s">
        <v>106</v>
      </c>
      <c r="B35" s="81" t="s">
        <v>107</v>
      </c>
      <c r="C35" s="373">
        <f>SUM(C36:C39)</f>
        <v>1127</v>
      </c>
      <c r="D35" s="374">
        <f>SUM(D36:D39)</f>
        <v>1127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1127</v>
      </c>
      <c r="D36" s="138">
        <v>1127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134</v>
      </c>
      <c r="H37" s="378">
        <f>H26+H18+H34</f>
        <v>236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5">
        <f>C35+C40+C45</f>
        <v>1127</v>
      </c>
      <c r="D46" s="376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</v>
      </c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</v>
      </c>
      <c r="H50" s="374">
        <f>SUM(H44:H49)</f>
        <v>11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v>126</v>
      </c>
      <c r="D55" s="268">
        <v>126</v>
      </c>
      <c r="E55" s="76" t="s">
        <v>168</v>
      </c>
      <c r="F55" s="82" t="s">
        <v>169</v>
      </c>
      <c r="G55" s="138">
        <f>110</f>
        <v>110</v>
      </c>
      <c r="H55" s="138">
        <f>111</f>
        <v>111</v>
      </c>
    </row>
    <row r="56" spans="1:13" ht="16.5" thickBot="1">
      <c r="A56" s="266" t="s">
        <v>170</v>
      </c>
      <c r="B56" s="149" t="s">
        <v>171</v>
      </c>
      <c r="C56" s="379">
        <f>C20+C21+C22+C28+C33+C46+C52+C54+C55</f>
        <v>2549</v>
      </c>
      <c r="D56" s="380">
        <f>D20+D21+D22+D28+D33+D46+D52+D54+D55</f>
        <v>2553</v>
      </c>
      <c r="E56" s="87" t="s">
        <v>557</v>
      </c>
      <c r="F56" s="86" t="s">
        <v>172</v>
      </c>
      <c r="G56" s="377">
        <f>G50+G52+G53+G54+G55</f>
        <v>121</v>
      </c>
      <c r="H56" s="378">
        <f>H50+H52+H53+H54+H55</f>
        <v>122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f>138</f>
        <v>138</v>
      </c>
      <c r="D59" s="138">
        <v>145</v>
      </c>
      <c r="E59" s="142" t="s">
        <v>180</v>
      </c>
      <c r="F59" s="276" t="s">
        <v>181</v>
      </c>
      <c r="G59" s="138">
        <f>416+237+161+185</f>
        <v>999</v>
      </c>
      <c r="H59" s="138">
        <v>982</v>
      </c>
    </row>
    <row r="60" spans="1:13" ht="15.75">
      <c r="A60" s="76" t="s">
        <v>178</v>
      </c>
      <c r="B60" s="78" t="s">
        <v>179</v>
      </c>
      <c r="C60" s="138">
        <f>107</f>
        <v>107</v>
      </c>
      <c r="D60" s="138">
        <v>90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f>17</f>
        <v>17</v>
      </c>
      <c r="D61" s="138">
        <v>18</v>
      </c>
      <c r="E61" s="141" t="s">
        <v>188</v>
      </c>
      <c r="F61" s="80" t="s">
        <v>189</v>
      </c>
      <c r="G61" s="373">
        <f>SUM(G62:G68)</f>
        <v>2543</v>
      </c>
      <c r="H61" s="374">
        <f>SUM(H62:H68)</f>
        <v>2517</v>
      </c>
    </row>
    <row r="62" spans="1:13" ht="15.75">
      <c r="A62" s="76" t="s">
        <v>186</v>
      </c>
      <c r="B62" s="81" t="s">
        <v>187</v>
      </c>
      <c r="C62" s="138">
        <f>368</f>
        <v>368</v>
      </c>
      <c r="D62" s="138">
        <v>391</v>
      </c>
      <c r="E62" s="141" t="s">
        <v>192</v>
      </c>
      <c r="F62" s="80" t="s">
        <v>193</v>
      </c>
      <c r="G62" s="138">
        <f>307+89+28</f>
        <v>424</v>
      </c>
      <c r="H62" s="138">
        <v>428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f>200+1+12+10+3+92+5+15+33+82</f>
        <v>453</v>
      </c>
      <c r="H63" s="138">
        <v>473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1122-1-5+8+20</f>
        <v>1144</v>
      </c>
      <c r="H64" s="138">
        <v>1138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630</v>
      </c>
      <c r="D65" s="376">
        <f>SUM(D59:D64)</f>
        <v>644</v>
      </c>
      <c r="E65" s="76" t="s">
        <v>201</v>
      </c>
      <c r="F65" s="80" t="s">
        <v>202</v>
      </c>
      <c r="G65" s="138">
        <f>209-28</f>
        <v>181</v>
      </c>
      <c r="H65" s="138">
        <v>167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f>27</f>
        <v>27</v>
      </c>
      <c r="H66" s="138">
        <v>26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f>39+14+16+7+9+4</f>
        <v>89</v>
      </c>
      <c r="H67" s="138">
        <v>77</v>
      </c>
    </row>
    <row r="68" spans="1:8" ht="15.75">
      <c r="A68" s="76" t="s">
        <v>206</v>
      </c>
      <c r="B68" s="78" t="s">
        <v>207</v>
      </c>
      <c r="C68" s="138">
        <f>534-338+8+287</f>
        <v>491</v>
      </c>
      <c r="D68" s="138">
        <v>460</v>
      </c>
      <c r="E68" s="76" t="s">
        <v>212</v>
      </c>
      <c r="F68" s="80" t="s">
        <v>213</v>
      </c>
      <c r="G68" s="138">
        <f>73+22+61+26+27+9+7</f>
        <v>225</v>
      </c>
      <c r="H68" s="138">
        <v>208</v>
      </c>
    </row>
    <row r="69" spans="1:8" ht="15.75">
      <c r="A69" s="76" t="s">
        <v>210</v>
      </c>
      <c r="B69" s="78" t="s">
        <v>211</v>
      </c>
      <c r="C69" s="138">
        <f>79-9+2+3+23</f>
        <v>98</v>
      </c>
      <c r="D69" s="138">
        <v>103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f>28</f>
        <v>28</v>
      </c>
      <c r="D70" s="138">
        <v>27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5">
        <f>G59+G60+G61+G69+G70</f>
        <v>3542</v>
      </c>
      <c r="H71" s="376">
        <f>H59+H60+H61+H69+H70</f>
        <v>3499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617</v>
      </c>
      <c r="D76" s="376">
        <f>SUM(D68:D75)</f>
        <v>590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8">
        <f>2</f>
        <v>2</v>
      </c>
      <c r="H77" s="269">
        <v>2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3544</v>
      </c>
      <c r="H79" s="378">
        <f>H71+H73+H75+H77</f>
        <v>3501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f>1</f>
        <v>1</v>
      </c>
      <c r="D88" s="138">
        <v>42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1</f>
        <v>1</v>
      </c>
      <c r="D89" s="138">
        <v>28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</v>
      </c>
      <c r="D92" s="376">
        <f>SUM(D88:D91)</f>
        <v>70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8">
        <f>1</f>
        <v>1</v>
      </c>
      <c r="D93" s="269">
        <v>2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1250</v>
      </c>
      <c r="D94" s="380">
        <f>D65+D76+D85+D92+D93</f>
        <v>1306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3799</v>
      </c>
      <c r="D95" s="382">
        <f>D94+D56</f>
        <v>3859</v>
      </c>
      <c r="E95" s="169" t="s">
        <v>635</v>
      </c>
      <c r="F95" s="279" t="s">
        <v>268</v>
      </c>
      <c r="G95" s="381">
        <f>G37+G40+G56+G79</f>
        <v>3799</v>
      </c>
      <c r="H95" s="382">
        <f>H37+H40+H56+H79</f>
        <v>3859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668</v>
      </c>
      <c r="B98" s="479">
        <f>pdeReportingDate</f>
        <v>43580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Николай Димитров Колев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683</v>
      </c>
      <c r="C103" s="478"/>
      <c r="D103" s="478"/>
      <c r="E103" s="478"/>
      <c r="M103" s="85"/>
    </row>
    <row r="104" spans="1:5" ht="21.75" customHeight="1">
      <c r="A104" s="473"/>
      <c r="B104" s="478"/>
      <c r="C104" s="478"/>
      <c r="D104" s="478"/>
      <c r="E104" s="478"/>
    </row>
    <row r="105" spans="1:13" ht="21.75" customHeight="1">
      <c r="A105" s="473"/>
      <c r="B105" s="478"/>
      <c r="C105" s="478"/>
      <c r="D105" s="478"/>
      <c r="E105" s="478"/>
      <c r="M105" s="85"/>
    </row>
    <row r="106" spans="1:5" ht="21.75" customHeight="1">
      <c r="A106" s="473"/>
      <c r="B106" s="478"/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53</f>
        <v>53</v>
      </c>
      <c r="D12" s="256">
        <v>49</v>
      </c>
      <c r="E12" s="135" t="s">
        <v>277</v>
      </c>
      <c r="F12" s="180" t="s">
        <v>278</v>
      </c>
      <c r="G12" s="256">
        <f>175</f>
        <v>175</v>
      </c>
      <c r="H12" s="256">
        <v>202</v>
      </c>
    </row>
    <row r="13" spans="1:8" ht="15.75">
      <c r="A13" s="135" t="s">
        <v>279</v>
      </c>
      <c r="B13" s="131" t="s">
        <v>280</v>
      </c>
      <c r="C13" s="256">
        <f>58</f>
        <v>58</v>
      </c>
      <c r="D13" s="256">
        <v>53</v>
      </c>
      <c r="E13" s="135" t="s">
        <v>281</v>
      </c>
      <c r="F13" s="180" t="s">
        <v>282</v>
      </c>
      <c r="G13" s="256">
        <f>8</f>
        <v>8</v>
      </c>
      <c r="H13" s="256">
        <v>6</v>
      </c>
    </row>
    <row r="14" spans="1:8" ht="15.75">
      <c r="A14" s="135" t="s">
        <v>283</v>
      </c>
      <c r="B14" s="131" t="s">
        <v>284</v>
      </c>
      <c r="C14" s="256">
        <f>5</f>
        <v>5</v>
      </c>
      <c r="D14" s="256">
        <v>5</v>
      </c>
      <c r="E14" s="185" t="s">
        <v>285</v>
      </c>
      <c r="F14" s="180" t="s">
        <v>286</v>
      </c>
      <c r="G14" s="256">
        <f>18</f>
        <v>18</v>
      </c>
      <c r="H14" s="256">
        <v>1</v>
      </c>
    </row>
    <row r="15" spans="1:8" ht="15.75">
      <c r="A15" s="135" t="s">
        <v>287</v>
      </c>
      <c r="B15" s="131" t="s">
        <v>288</v>
      </c>
      <c r="C15" s="256">
        <f>98</f>
        <v>98</v>
      </c>
      <c r="D15" s="256">
        <v>108</v>
      </c>
      <c r="E15" s="185" t="s">
        <v>79</v>
      </c>
      <c r="F15" s="180" t="s">
        <v>289</v>
      </c>
      <c r="G15" s="256">
        <f>18</f>
        <v>18</v>
      </c>
      <c r="H15" s="256">
        <v>22</v>
      </c>
    </row>
    <row r="16" spans="1:8" ht="15.75">
      <c r="A16" s="135" t="s">
        <v>290</v>
      </c>
      <c r="B16" s="131" t="s">
        <v>291</v>
      </c>
      <c r="C16" s="256">
        <f>16</f>
        <v>16</v>
      </c>
      <c r="D16" s="256">
        <v>14</v>
      </c>
      <c r="E16" s="176" t="s">
        <v>52</v>
      </c>
      <c r="F16" s="204" t="s">
        <v>292</v>
      </c>
      <c r="G16" s="406">
        <f>SUM(G12:G15)</f>
        <v>219</v>
      </c>
      <c r="H16" s="407">
        <f>SUM(H12:H15)</f>
        <v>231</v>
      </c>
    </row>
    <row r="17" spans="1:8" ht="31.5">
      <c r="A17" s="135" t="s">
        <v>293</v>
      </c>
      <c r="B17" s="131" t="s">
        <v>294</v>
      </c>
      <c r="C17" s="256">
        <f>7</f>
        <v>7</v>
      </c>
      <c r="D17" s="256">
        <v>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53</f>
        <v>53</v>
      </c>
      <c r="D18" s="256">
        <v>87</v>
      </c>
      <c r="E18" s="174" t="s">
        <v>297</v>
      </c>
      <c r="F18" s="178" t="s">
        <v>298</v>
      </c>
      <c r="G18" s="417">
        <v>1</v>
      </c>
      <c r="H18" s="417">
        <v>1</v>
      </c>
    </row>
    <row r="19" spans="1:8" ht="15.75">
      <c r="A19" s="135" t="s">
        <v>299</v>
      </c>
      <c r="B19" s="131" t="s">
        <v>300</v>
      </c>
      <c r="C19" s="256">
        <f>15</f>
        <v>15</v>
      </c>
      <c r="D19" s="256">
        <v>3</v>
      </c>
      <c r="E19" s="135" t="s">
        <v>301</v>
      </c>
      <c r="F19" s="177" t="s">
        <v>302</v>
      </c>
      <c r="G19" s="256">
        <v>1</v>
      </c>
      <c r="H19" s="256">
        <v>1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305</v>
      </c>
      <c r="D22" s="407">
        <f>SUM(D12:D18)+D19</f>
        <v>325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17</f>
        <v>17</v>
      </c>
      <c r="D25" s="256">
        <v>16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17</v>
      </c>
      <c r="D29" s="407">
        <f>SUM(D25:D28)</f>
        <v>16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322</v>
      </c>
      <c r="D31" s="413">
        <f>D29+D22</f>
        <v>341</v>
      </c>
      <c r="E31" s="191" t="s">
        <v>548</v>
      </c>
      <c r="F31" s="206" t="s">
        <v>331</v>
      </c>
      <c r="G31" s="193">
        <f>G16+G18+G27</f>
        <v>220</v>
      </c>
      <c r="H31" s="194">
        <f>H16+H18+H27</f>
        <v>232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102</v>
      </c>
      <c r="H33" s="407">
        <f>IF((D31-H31)&gt;0,D31-H31,0)</f>
        <v>109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322</v>
      </c>
      <c r="D36" s="415">
        <f>D31-D34+D35</f>
        <v>341</v>
      </c>
      <c r="E36" s="202" t="s">
        <v>346</v>
      </c>
      <c r="F36" s="196" t="s">
        <v>347</v>
      </c>
      <c r="G36" s="207">
        <f>G35-G34+G31</f>
        <v>220</v>
      </c>
      <c r="H36" s="208">
        <f>H35-H34+H31</f>
        <v>232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102</v>
      </c>
      <c r="H37" s="194">
        <f>IF((D36-H36)&gt;0,D36-H36,0)</f>
        <v>109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102</v>
      </c>
      <c r="H42" s="184">
        <f>IF(H37&gt;0,IF(D38+H37&lt;0,0,D38+H37),IF(D37-D38&lt;0,D38-D37,0))</f>
        <v>109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102</v>
      </c>
      <c r="H44" s="208">
        <f>IF(D42=0,IF(H42-H43&gt;0,H42-H43+D43,0),IF(D42-D43&lt;0,D43-D42+H43,0))</f>
        <v>109</v>
      </c>
    </row>
    <row r="45" spans="1:8" ht="16.5" thickBot="1">
      <c r="A45" s="210" t="s">
        <v>371</v>
      </c>
      <c r="B45" s="211" t="s">
        <v>372</v>
      </c>
      <c r="C45" s="408">
        <f>C36+C38+C42</f>
        <v>322</v>
      </c>
      <c r="D45" s="409">
        <f>D36+D38+D42</f>
        <v>341</v>
      </c>
      <c r="E45" s="210" t="s">
        <v>373</v>
      </c>
      <c r="F45" s="212" t="s">
        <v>374</v>
      </c>
      <c r="G45" s="408">
        <f>G42+G36</f>
        <v>322</v>
      </c>
      <c r="H45" s="409">
        <f>H42+H36</f>
        <v>341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668</v>
      </c>
      <c r="B50" s="479">
        <f>pdeReportingDate</f>
        <v>43580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Николай Димитров Колев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683</v>
      </c>
      <c r="C55" s="478"/>
      <c r="D55" s="478"/>
      <c r="E55" s="478"/>
      <c r="F55" s="352"/>
      <c r="G55" s="41"/>
      <c r="H55" s="39"/>
    </row>
    <row r="56" spans="1:8" ht="15.75" customHeight="1">
      <c r="A56" s="473"/>
      <c r="B56" s="478"/>
      <c r="C56" s="478"/>
      <c r="D56" s="478"/>
      <c r="E56" s="478"/>
      <c r="F56" s="352"/>
      <c r="G56" s="41"/>
      <c r="H56" s="39"/>
    </row>
    <row r="57" spans="1:8" ht="15.75" customHeight="1">
      <c r="A57" s="473"/>
      <c r="B57" s="478"/>
      <c r="C57" s="478"/>
      <c r="D57" s="478"/>
      <c r="E57" s="478"/>
      <c r="F57" s="352"/>
      <c r="G57" s="41"/>
      <c r="H57" s="39"/>
    </row>
    <row r="58" spans="1:8" ht="15.75" customHeight="1">
      <c r="A58" s="473"/>
      <c r="B58" s="478"/>
      <c r="C58" s="478"/>
      <c r="D58" s="478"/>
      <c r="E58" s="478"/>
      <c r="F58" s="352"/>
      <c r="G58" s="41"/>
      <c r="H58" s="39"/>
    </row>
    <row r="59" spans="1:8" ht="15.75">
      <c r="A59" s="473"/>
      <c r="B59" s="478"/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147</f>
        <v>147</v>
      </c>
      <c r="D11" s="138">
        <v>310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-98</f>
        <v>-98</v>
      </c>
      <c r="D12" s="138">
        <v>-198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-96</f>
        <v>-96</v>
      </c>
      <c r="D14" s="138">
        <v>-72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-20</f>
        <v>-20</v>
      </c>
      <c r="D15" s="138">
        <v>-10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-1</f>
        <v>-1</v>
      </c>
      <c r="D20" s="138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-68</v>
      </c>
      <c r="D21" s="436">
        <f>SUM(D11:D20)</f>
        <v>29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-68</v>
      </c>
      <c r="D44" s="247">
        <f>D43+D33+D21</f>
        <v>29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70</f>
        <v>70</v>
      </c>
      <c r="D45" s="249">
        <v>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34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2</f>
        <v>2</v>
      </c>
      <c r="D47" s="238">
        <v>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79">
        <f>pdeReportingDate</f>
        <v>43580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Николай Димитров Колев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683</v>
      </c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473"/>
      <c r="B62" s="478"/>
      <c r="C62" s="478"/>
      <c r="D62" s="478"/>
      <c r="E62" s="478"/>
      <c r="F62" s="352"/>
      <c r="G62" s="41"/>
      <c r="H62" s="39"/>
    </row>
    <row r="63" spans="1:8" ht="15.75">
      <c r="A63" s="473"/>
      <c r="B63" s="478"/>
      <c r="C63" s="478"/>
      <c r="D63" s="478"/>
      <c r="E63" s="478"/>
      <c r="F63" s="352"/>
      <c r="G63" s="41"/>
      <c r="H63" s="39"/>
    </row>
    <row r="64" spans="1:8" ht="15.75">
      <c r="A64" s="473"/>
      <c r="B64" s="478"/>
      <c r="C64" s="478"/>
      <c r="D64" s="478"/>
      <c r="E64" s="478"/>
      <c r="F64" s="352"/>
      <c r="G64" s="41"/>
      <c r="H64" s="39"/>
    </row>
    <row r="65" spans="1:8" ht="15.75">
      <c r="A65" s="473"/>
      <c r="B65" s="478"/>
      <c r="C65" s="478"/>
      <c r="D65" s="478"/>
      <c r="E65" s="478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1.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3400</v>
      </c>
      <c r="D13" s="362">
        <f>'1-Баланс'!H20</f>
        <v>0</v>
      </c>
      <c r="E13" s="362">
        <f>'1-Баланс'!H21</f>
        <v>210</v>
      </c>
      <c r="F13" s="362">
        <f>'1-Баланс'!H23</f>
        <v>0</v>
      </c>
      <c r="G13" s="362">
        <f>'1-Баланс'!H24</f>
        <v>498</v>
      </c>
      <c r="H13" s="363"/>
      <c r="I13" s="362">
        <f>'1-Баланс'!H29+'1-Баланс'!H32</f>
        <v>650</v>
      </c>
      <c r="J13" s="362">
        <f>'1-Баланс'!H30+'1-Баланс'!H33</f>
        <v>-4522</v>
      </c>
      <c r="K13" s="363"/>
      <c r="L13" s="362">
        <f>SUM(C13:K13)</f>
        <v>236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7" t="s">
        <v>473</v>
      </c>
      <c r="B16" s="328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5" t="s">
        <v>475</v>
      </c>
      <c r="B17" s="326" t="s">
        <v>476</v>
      </c>
      <c r="C17" s="430">
        <f>C13+C14</f>
        <v>3400</v>
      </c>
      <c r="D17" s="430">
        <f aca="true" t="shared" si="2" ref="D17:M17">D13+D14</f>
        <v>0</v>
      </c>
      <c r="E17" s="430">
        <f t="shared" si="2"/>
        <v>210</v>
      </c>
      <c r="F17" s="430">
        <f t="shared" si="2"/>
        <v>0</v>
      </c>
      <c r="G17" s="430">
        <f t="shared" si="2"/>
        <v>498</v>
      </c>
      <c r="H17" s="430">
        <f t="shared" si="2"/>
        <v>0</v>
      </c>
      <c r="I17" s="430">
        <f t="shared" si="2"/>
        <v>650</v>
      </c>
      <c r="J17" s="430">
        <f t="shared" si="2"/>
        <v>-4522</v>
      </c>
      <c r="K17" s="430">
        <f t="shared" si="2"/>
        <v>0</v>
      </c>
      <c r="L17" s="362">
        <f t="shared" si="1"/>
        <v>236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0</v>
      </c>
      <c r="J18" s="362">
        <f>+'1-Баланс'!G33</f>
        <v>-102</v>
      </c>
      <c r="K18" s="363"/>
      <c r="L18" s="362">
        <f t="shared" si="1"/>
        <v>-102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29" t="s">
        <v>481</v>
      </c>
      <c r="B20" s="330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29" t="s">
        <v>483</v>
      </c>
      <c r="B21" s="330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7" t="s">
        <v>485</v>
      </c>
      <c r="B22" s="328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7" t="s">
        <v>491</v>
      </c>
      <c r="B25" s="328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7" t="s">
        <v>491</v>
      </c>
      <c r="B28" s="328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7" t="s">
        <v>497</v>
      </c>
      <c r="B29" s="328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7" t="s">
        <v>499</v>
      </c>
      <c r="B30" s="328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3400</v>
      </c>
      <c r="D31" s="430">
        <f aca="true" t="shared" si="6" ref="D31:M31">D19+D22+D23+D26+D30+D29+D17+D18</f>
        <v>0</v>
      </c>
      <c r="E31" s="430">
        <f t="shared" si="6"/>
        <v>210</v>
      </c>
      <c r="F31" s="430">
        <f t="shared" si="6"/>
        <v>0</v>
      </c>
      <c r="G31" s="430">
        <f t="shared" si="6"/>
        <v>498</v>
      </c>
      <c r="H31" s="430">
        <f t="shared" si="6"/>
        <v>0</v>
      </c>
      <c r="I31" s="430">
        <f t="shared" si="6"/>
        <v>650</v>
      </c>
      <c r="J31" s="430">
        <f t="shared" si="6"/>
        <v>-4624</v>
      </c>
      <c r="K31" s="430">
        <f t="shared" si="6"/>
        <v>0</v>
      </c>
      <c r="L31" s="362">
        <f t="shared" si="1"/>
        <v>134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1" t="s">
        <v>505</v>
      </c>
      <c r="B33" s="332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3400</v>
      </c>
      <c r="D34" s="365">
        <f t="shared" si="7"/>
        <v>0</v>
      </c>
      <c r="E34" s="365">
        <f t="shared" si="7"/>
        <v>210</v>
      </c>
      <c r="F34" s="365">
        <f t="shared" si="7"/>
        <v>0</v>
      </c>
      <c r="G34" s="365">
        <f t="shared" si="7"/>
        <v>498</v>
      </c>
      <c r="H34" s="365">
        <f t="shared" si="7"/>
        <v>0</v>
      </c>
      <c r="I34" s="365">
        <f t="shared" si="7"/>
        <v>650</v>
      </c>
      <c r="J34" s="365">
        <f t="shared" si="7"/>
        <v>-4624</v>
      </c>
      <c r="K34" s="365">
        <f t="shared" si="7"/>
        <v>0</v>
      </c>
      <c r="L34" s="428">
        <f t="shared" si="1"/>
        <v>134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668</v>
      </c>
      <c r="B38" s="479">
        <f>pdeReportingDate</f>
        <v>43580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Николай Димитров Колев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683</v>
      </c>
      <c r="C43" s="478"/>
      <c r="D43" s="478"/>
      <c r="E43" s="478"/>
      <c r="F43" s="352"/>
      <c r="G43" s="41"/>
      <c r="H43" s="39"/>
      <c r="M43" s="110"/>
    </row>
    <row r="44" spans="1:13" ht="15.75">
      <c r="A44" s="473"/>
      <c r="B44" s="478"/>
      <c r="C44" s="478"/>
      <c r="D44" s="478"/>
      <c r="E44" s="478"/>
      <c r="F44" s="352"/>
      <c r="G44" s="41"/>
      <c r="H44" s="39"/>
      <c r="M44" s="110"/>
    </row>
    <row r="45" spans="1:13" ht="15.75">
      <c r="A45" s="473"/>
      <c r="B45" s="478"/>
      <c r="C45" s="478"/>
      <c r="D45" s="478"/>
      <c r="E45" s="478"/>
      <c r="F45" s="352"/>
      <c r="G45" s="41"/>
      <c r="H45" s="39"/>
      <c r="M45" s="110"/>
    </row>
    <row r="46" spans="1:13" ht="15.75">
      <c r="A46" s="473"/>
      <c r="B46" s="478"/>
      <c r="C46" s="478"/>
      <c r="D46" s="478"/>
      <c r="E46" s="478"/>
      <c r="F46" s="352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2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2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2"/>
      <c r="D10" s="262"/>
      <c r="E10" s="262"/>
      <c r="F10" s="262"/>
    </row>
    <row r="11" spans="1:6" ht="15.75">
      <c r="A11" s="294" t="s">
        <v>518</v>
      </c>
      <c r="B11" s="289"/>
      <c r="C11" s="262"/>
      <c r="D11" s="262"/>
      <c r="E11" s="262"/>
      <c r="F11" s="262"/>
    </row>
    <row r="12" spans="1:6" ht="15.75">
      <c r="A12" s="456" t="s">
        <v>690</v>
      </c>
      <c r="B12" s="457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5" t="s">
        <v>510</v>
      </c>
      <c r="B27" s="296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4" t="s">
        <v>520</v>
      </c>
      <c r="B28" s="296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5" t="s">
        <v>512</v>
      </c>
      <c r="B44" s="296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4" t="s">
        <v>522</v>
      </c>
      <c r="B45" s="297"/>
      <c r="C45" s="298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5" t="s">
        <v>523</v>
      </c>
      <c r="B61" s="296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2" t="s">
        <v>525</v>
      </c>
      <c r="B62" s="296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5" t="s">
        <v>511</v>
      </c>
      <c r="B78" s="296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299" t="s">
        <v>527</v>
      </c>
      <c r="B79" s="296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2" t="s">
        <v>529</v>
      </c>
      <c r="B80" s="296"/>
      <c r="C80" s="261"/>
      <c r="D80" s="261"/>
      <c r="E80" s="261"/>
      <c r="F80" s="261"/>
    </row>
    <row r="81" spans="1:6" ht="15.75">
      <c r="A81" s="294" t="s">
        <v>518</v>
      </c>
      <c r="B81" s="300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5" t="s">
        <v>510</v>
      </c>
      <c r="B97" s="296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4" t="s">
        <v>520</v>
      </c>
      <c r="B98" s="301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5" t="s">
        <v>512</v>
      </c>
      <c r="B114" s="296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4" t="s">
        <v>522</v>
      </c>
      <c r="B115" s="296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5" t="s">
        <v>523</v>
      </c>
      <c r="B131" s="296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2" t="s">
        <v>525</v>
      </c>
      <c r="B132" s="296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5" t="s">
        <v>511</v>
      </c>
      <c r="B148" s="296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299" t="s">
        <v>534</v>
      </c>
      <c r="B149" s="296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668</v>
      </c>
      <c r="B151" s="479">
        <f>pdeReportingDate</f>
        <v>43580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Николай Димитров Колев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683</v>
      </c>
      <c r="C156" s="478"/>
      <c r="D156" s="478"/>
      <c r="E156" s="478"/>
      <c r="F156" s="352"/>
      <c r="G156" s="41"/>
      <c r="H156" s="39"/>
    </row>
    <row r="157" spans="1:8" ht="15.75">
      <c r="A157" s="473"/>
      <c r="B157" s="478"/>
      <c r="C157" s="478"/>
      <c r="D157" s="478"/>
      <c r="E157" s="478"/>
      <c r="F157" s="352"/>
      <c r="G157" s="41"/>
      <c r="H157" s="39"/>
    </row>
    <row r="158" spans="1:8" ht="15.75">
      <c r="A158" s="473"/>
      <c r="B158" s="478"/>
      <c r="C158" s="478"/>
      <c r="D158" s="478"/>
      <c r="E158" s="478"/>
      <c r="F158" s="352"/>
      <c r="G158" s="41"/>
      <c r="H158" s="39"/>
    </row>
    <row r="159" spans="1:8" ht="15.75">
      <c r="A159" s="473"/>
      <c r="B159" s="478"/>
      <c r="C159" s="478"/>
      <c r="D159" s="478"/>
      <c r="E159" s="478"/>
      <c r="F159" s="352"/>
      <c r="G159" s="41"/>
      <c r="H159" s="39"/>
    </row>
    <row r="160" spans="1:8" ht="15.75">
      <c r="A160" s="473"/>
      <c r="B160" s="478"/>
      <c r="C160" s="478"/>
      <c r="D160" s="478"/>
      <c r="E160" s="478"/>
      <c r="F160" s="352"/>
      <c r="G160" s="41"/>
      <c r="H160" s="39"/>
    </row>
    <row r="161" spans="1:8" ht="15.75">
      <c r="A161" s="473"/>
      <c r="B161" s="478"/>
      <c r="C161" s="478"/>
      <c r="D161" s="478"/>
      <c r="E161" s="478"/>
      <c r="F161" s="352"/>
      <c r="G161" s="41"/>
      <c r="H161" s="39"/>
    </row>
    <row r="162" spans="1:8" ht="15.75">
      <c r="A162" s="473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ТОДОРОВ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31.03.2019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674</v>
      </c>
      <c r="B6" s="444" t="s">
        <v>639</v>
      </c>
      <c r="C6" s="451">
        <f>'1-Баланс'!C95</f>
        <v>3799</v>
      </c>
      <c r="D6" s="452">
        <f aca="true" t="shared" si="0" ref="D6:D15">C6-E6</f>
        <v>0</v>
      </c>
      <c r="E6" s="451">
        <f>'1-Баланс'!G95</f>
        <v>3799</v>
      </c>
      <c r="F6" s="445" t="s">
        <v>640</v>
      </c>
      <c r="G6" s="453" t="s">
        <v>674</v>
      </c>
    </row>
    <row r="7" spans="1:7" ht="18.75" customHeight="1">
      <c r="A7" s="453" t="s">
        <v>674</v>
      </c>
      <c r="B7" s="444" t="s">
        <v>638</v>
      </c>
      <c r="C7" s="451">
        <f>'1-Баланс'!G37</f>
        <v>134</v>
      </c>
      <c r="D7" s="452">
        <f t="shared" si="0"/>
        <v>-3266</v>
      </c>
      <c r="E7" s="451">
        <f>'1-Баланс'!G18</f>
        <v>3400</v>
      </c>
      <c r="F7" s="445" t="s">
        <v>455</v>
      </c>
      <c r="G7" s="453" t="s">
        <v>674</v>
      </c>
    </row>
    <row r="8" spans="1:7" ht="18.75" customHeight="1">
      <c r="A8" s="453" t="s">
        <v>674</v>
      </c>
      <c r="B8" s="444" t="s">
        <v>636</v>
      </c>
      <c r="C8" s="451">
        <f>ABS('1-Баланс'!G32)-ABS('1-Баланс'!G33)</f>
        <v>-102</v>
      </c>
      <c r="D8" s="452">
        <f t="shared" si="0"/>
        <v>0</v>
      </c>
      <c r="E8" s="451">
        <f>ABS('2-Отчет за доходите'!C44)-ABS('2-Отчет за доходите'!G44)</f>
        <v>-102</v>
      </c>
      <c r="F8" s="445" t="s">
        <v>637</v>
      </c>
      <c r="G8" s="454" t="s">
        <v>676</v>
      </c>
    </row>
    <row r="9" spans="1:7" ht="18.75" customHeight="1">
      <c r="A9" s="453" t="s">
        <v>674</v>
      </c>
      <c r="B9" s="444" t="s">
        <v>642</v>
      </c>
      <c r="C9" s="451">
        <f>'1-Баланс'!D92</f>
        <v>70</v>
      </c>
      <c r="D9" s="452">
        <f t="shared" si="0"/>
        <v>0</v>
      </c>
      <c r="E9" s="451">
        <f>'3-Отчет за паричния поток'!C45</f>
        <v>70</v>
      </c>
      <c r="F9" s="445" t="s">
        <v>641</v>
      </c>
      <c r="G9" s="454" t="s">
        <v>675</v>
      </c>
    </row>
    <row r="10" spans="1:7" ht="18.75" customHeight="1">
      <c r="A10" s="453" t="s">
        <v>674</v>
      </c>
      <c r="B10" s="444" t="s">
        <v>643</v>
      </c>
      <c r="C10" s="451">
        <f>'1-Баланс'!C92</f>
        <v>2</v>
      </c>
      <c r="D10" s="452">
        <f t="shared" si="0"/>
        <v>0</v>
      </c>
      <c r="E10" s="451">
        <f>'3-Отчет за паричния поток'!C46</f>
        <v>2</v>
      </c>
      <c r="F10" s="445" t="s">
        <v>644</v>
      </c>
      <c r="G10" s="454" t="s">
        <v>675</v>
      </c>
    </row>
    <row r="11" spans="1:7" ht="18.75" customHeight="1">
      <c r="A11" s="453" t="s">
        <v>674</v>
      </c>
      <c r="B11" s="444" t="s">
        <v>638</v>
      </c>
      <c r="C11" s="451">
        <f>'1-Баланс'!G37</f>
        <v>134</v>
      </c>
      <c r="D11" s="452">
        <f t="shared" si="0"/>
        <v>0</v>
      </c>
      <c r="E11" s="451">
        <f>'4-Отчет за собствения капитал'!L34</f>
        <v>134</v>
      </c>
      <c r="F11" s="445" t="s">
        <v>645</v>
      </c>
      <c r="G11" s="454" t="s">
        <v>677</v>
      </c>
    </row>
    <row r="12" spans="1:7" ht="18.75" customHeight="1">
      <c r="A12" s="453" t="s">
        <v>674</v>
      </c>
      <c r="B12" s="444" t="s">
        <v>646</v>
      </c>
      <c r="C12" s="451">
        <f>'1-Баланс'!C36</f>
        <v>1127</v>
      </c>
      <c r="D12" s="452">
        <f t="shared" si="0"/>
        <v>0</v>
      </c>
      <c r="E12" s="451">
        <f>'Справка 5'!C27+'Справка 5'!C97</f>
        <v>1127</v>
      </c>
      <c r="F12" s="445" t="s">
        <v>650</v>
      </c>
      <c r="G12" s="454" t="s">
        <v>678</v>
      </c>
    </row>
    <row r="13" spans="1:7" ht="18.75" customHeight="1">
      <c r="A13" s="453" t="s">
        <v>674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678</v>
      </c>
    </row>
    <row r="14" spans="1:7" ht="18.75" customHeight="1">
      <c r="A14" s="453" t="s">
        <v>674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678</v>
      </c>
    </row>
    <row r="15" spans="1:7" ht="18.75" customHeight="1">
      <c r="A15" s="453" t="s">
        <v>674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-0.4657534246575342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-0.7611940298507462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-0.027830832196452934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-0.026849170834430114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0.6832298136645962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0.3527088036117382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0.17466139954853274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0.000564334085778781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0.000564334085778781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0.11370716510903427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0.05764674914451171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0.4745098039215686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27.350746268656714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0.96472755988418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17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0.12686567164179105</v>
      </c>
    </row>
    <row r="23" spans="1:4" ht="31.5">
      <c r="A23" s="370">
        <v>17</v>
      </c>
      <c r="B23" s="368" t="s">
        <v>670</v>
      </c>
      <c r="C23" s="369" t="s">
        <v>671</v>
      </c>
      <c r="D23" s="424">
        <f>(D21+'2-Отчет за доходите'!C14)/'2-Отчет за доходите'!G31</f>
        <v>0.1</v>
      </c>
    </row>
    <row r="24" spans="1:4" ht="31.5">
      <c r="A24" s="370">
        <v>18</v>
      </c>
      <c r="B24" s="368" t="s">
        <v>672</v>
      </c>
      <c r="C24" s="369" t="s">
        <v>673</v>
      </c>
      <c r="D24" s="424">
        <f>('1-Баланс'!G56+'1-Баланс'!G79)/(D21+'2-Отчет за доходите'!C14)</f>
        <v>166.5909090909091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59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59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715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59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59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59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59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59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59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59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933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59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185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59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173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59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59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59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59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59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59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59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59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59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59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59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59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59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59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59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59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59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59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59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59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59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59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59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59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59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59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59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126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59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2549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59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138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59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107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59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17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59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368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59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59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59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630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59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491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59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98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59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28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59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59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59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59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59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59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617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59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59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59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59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59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59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59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59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59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59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59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59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59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59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1250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59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3799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59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59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59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59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59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59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59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59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59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210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59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59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59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59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59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708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59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-3872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59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650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59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-4522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59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59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59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-102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59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-3974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59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134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59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59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59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59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59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59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59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59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59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59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59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59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110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59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121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59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999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59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59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2543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59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424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59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453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59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1144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59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181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59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59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89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59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225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59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59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59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3542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59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59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59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59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3544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59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3799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59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53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59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58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59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5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59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98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59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16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59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7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59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53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59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15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59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59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59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305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59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17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59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59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59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59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17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59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322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59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59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59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59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322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59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59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59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59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59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59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59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59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59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322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59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175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59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8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59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59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59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219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59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59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59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59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59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59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59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59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59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220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59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102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59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59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59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220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59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102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59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102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59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59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102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59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322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59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147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59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-98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59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59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-96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59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-20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59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59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59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59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59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-1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59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-68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59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59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59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59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59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59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59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59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59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59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59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59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59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59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59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59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59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59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59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59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59">
        <f t="shared" si="20"/>
        <v>43555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-68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59">
        <f t="shared" si="20"/>
        <v>43555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70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59">
        <f t="shared" si="20"/>
        <v>43555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59">
        <f t="shared" si="20"/>
        <v>43555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2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59">
        <f t="shared" si="20"/>
        <v>43555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59">
        <f aca="true" t="shared" si="23" ref="C218:C281">endDate</f>
        <v>43555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59">
        <f t="shared" si="23"/>
        <v>43555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59">
        <f t="shared" si="23"/>
        <v>43555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59">
        <f t="shared" si="23"/>
        <v>43555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59">
        <f t="shared" si="23"/>
        <v>43555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59">
        <f t="shared" si="23"/>
        <v>43555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59">
        <f t="shared" si="23"/>
        <v>43555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59">
        <f t="shared" si="23"/>
        <v>43555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59">
        <f t="shared" si="23"/>
        <v>43555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59">
        <f t="shared" si="23"/>
        <v>43555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59">
        <f t="shared" si="23"/>
        <v>43555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59">
        <f t="shared" si="23"/>
        <v>43555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59">
        <f t="shared" si="23"/>
        <v>43555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59">
        <f t="shared" si="23"/>
        <v>43555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59">
        <f t="shared" si="23"/>
        <v>43555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59">
        <f t="shared" si="23"/>
        <v>43555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59">
        <f t="shared" si="23"/>
        <v>43555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59">
        <f t="shared" si="23"/>
        <v>43555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59">
        <f t="shared" si="23"/>
        <v>43555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59">
        <f t="shared" si="23"/>
        <v>43555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59">
        <f t="shared" si="23"/>
        <v>43555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59">
        <f t="shared" si="23"/>
        <v>43555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59">
        <f t="shared" si="23"/>
        <v>43555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59">
        <f t="shared" si="23"/>
        <v>43555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59">
        <f t="shared" si="23"/>
        <v>43555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59">
        <f t="shared" si="23"/>
        <v>43555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59">
        <f t="shared" si="23"/>
        <v>43555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59">
        <f t="shared" si="23"/>
        <v>43555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59">
        <f t="shared" si="23"/>
        <v>43555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59">
        <f t="shared" si="23"/>
        <v>43555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59">
        <f t="shared" si="23"/>
        <v>43555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59">
        <f t="shared" si="23"/>
        <v>43555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59">
        <f t="shared" si="23"/>
        <v>43555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59">
        <f t="shared" si="23"/>
        <v>43555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59">
        <f t="shared" si="23"/>
        <v>43555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59">
        <f t="shared" si="23"/>
        <v>43555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59">
        <f t="shared" si="23"/>
        <v>43555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59">
        <f t="shared" si="23"/>
        <v>43555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59">
        <f t="shared" si="23"/>
        <v>43555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59">
        <f t="shared" si="23"/>
        <v>43555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59">
        <f t="shared" si="23"/>
        <v>43555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59">
        <f t="shared" si="23"/>
        <v>43555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59">
        <f t="shared" si="23"/>
        <v>43555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59">
        <f t="shared" si="23"/>
        <v>43555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59">
        <f t="shared" si="23"/>
        <v>43555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210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59">
        <f t="shared" si="23"/>
        <v>43555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59">
        <f t="shared" si="23"/>
        <v>43555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59">
        <f t="shared" si="23"/>
        <v>43555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59">
        <f t="shared" si="23"/>
        <v>43555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210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59">
        <f t="shared" si="23"/>
        <v>43555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59">
        <f t="shared" si="23"/>
        <v>43555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59">
        <f t="shared" si="23"/>
        <v>43555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59">
        <f t="shared" si="23"/>
        <v>43555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59">
        <f t="shared" si="23"/>
        <v>43555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59">
        <f t="shared" si="23"/>
        <v>43555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59">
        <f t="shared" si="23"/>
        <v>43555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59">
        <f t="shared" si="23"/>
        <v>43555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59">
        <f t="shared" si="23"/>
        <v>43555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59">
        <f t="shared" si="23"/>
        <v>43555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59">
        <f t="shared" si="23"/>
        <v>43555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59">
        <f t="shared" si="23"/>
        <v>43555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59">
        <f t="shared" si="23"/>
        <v>43555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59">
        <f t="shared" si="23"/>
        <v>43555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210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59">
        <f t="shared" si="23"/>
        <v>43555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59">
        <f aca="true" t="shared" si="26" ref="C282:C345">endDate</f>
        <v>43555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59">
        <f t="shared" si="26"/>
        <v>43555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210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59">
        <f t="shared" si="26"/>
        <v>43555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59">
        <f t="shared" si="26"/>
        <v>43555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59">
        <f t="shared" si="26"/>
        <v>43555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59">
        <f t="shared" si="26"/>
        <v>43555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59">
        <f t="shared" si="26"/>
        <v>43555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59">
        <f t="shared" si="26"/>
        <v>43555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59">
        <f t="shared" si="26"/>
        <v>43555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59">
        <f t="shared" si="26"/>
        <v>43555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59">
        <f t="shared" si="26"/>
        <v>43555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59">
        <f t="shared" si="26"/>
        <v>43555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59">
        <f t="shared" si="26"/>
        <v>43555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59">
        <f t="shared" si="26"/>
        <v>43555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59">
        <f t="shared" si="26"/>
        <v>43555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59">
        <f t="shared" si="26"/>
        <v>43555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59">
        <f t="shared" si="26"/>
        <v>43555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59">
        <f t="shared" si="26"/>
        <v>43555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59">
        <f t="shared" si="26"/>
        <v>43555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59">
        <f t="shared" si="26"/>
        <v>43555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59">
        <f t="shared" si="26"/>
        <v>43555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59">
        <f t="shared" si="26"/>
        <v>43555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59">
        <f t="shared" si="26"/>
        <v>43555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59">
        <f t="shared" si="26"/>
        <v>43555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59">
        <f t="shared" si="26"/>
        <v>43555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59">
        <f t="shared" si="26"/>
        <v>43555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59">
        <f t="shared" si="26"/>
        <v>43555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59">
        <f t="shared" si="26"/>
        <v>43555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59">
        <f t="shared" si="26"/>
        <v>43555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59">
        <f t="shared" si="26"/>
        <v>43555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59">
        <f t="shared" si="26"/>
        <v>43555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59">
        <f t="shared" si="26"/>
        <v>43555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59">
        <f t="shared" si="26"/>
        <v>43555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59">
        <f t="shared" si="26"/>
        <v>43555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59">
        <f t="shared" si="26"/>
        <v>43555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59">
        <f t="shared" si="26"/>
        <v>43555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59">
        <f t="shared" si="26"/>
        <v>43555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59">
        <f t="shared" si="26"/>
        <v>43555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59">
        <f t="shared" si="26"/>
        <v>43555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59">
        <f t="shared" si="26"/>
        <v>43555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59">
        <f t="shared" si="26"/>
        <v>43555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59">
        <f t="shared" si="26"/>
        <v>43555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59">
        <f t="shared" si="26"/>
        <v>43555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59">
        <f t="shared" si="26"/>
        <v>43555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59">
        <f t="shared" si="26"/>
        <v>43555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59">
        <f t="shared" si="26"/>
        <v>43555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59">
        <f t="shared" si="26"/>
        <v>43555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59">
        <f t="shared" si="26"/>
        <v>43555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59">
        <f t="shared" si="26"/>
        <v>43555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59">
        <f t="shared" si="26"/>
        <v>43555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59">
        <f t="shared" si="26"/>
        <v>43555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59">
        <f t="shared" si="26"/>
        <v>43555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59">
        <f t="shared" si="26"/>
        <v>43555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59">
        <f t="shared" si="26"/>
        <v>43555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59">
        <f t="shared" si="26"/>
        <v>43555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59">
        <f t="shared" si="26"/>
        <v>43555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59">
        <f t="shared" si="26"/>
        <v>43555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59">
        <f t="shared" si="26"/>
        <v>43555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59">
        <f t="shared" si="26"/>
        <v>43555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59">
        <f t="shared" si="26"/>
        <v>43555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59">
        <f t="shared" si="26"/>
        <v>43555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59">
        <f t="shared" si="26"/>
        <v>43555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59">
        <f t="shared" si="26"/>
        <v>43555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59">
        <f t="shared" si="26"/>
        <v>43555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59">
        <f aca="true" t="shared" si="29" ref="C346:C409">endDate</f>
        <v>43555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59">
        <f t="shared" si="29"/>
        <v>43555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59">
        <f t="shared" si="29"/>
        <v>43555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59">
        <f t="shared" si="29"/>
        <v>43555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59">
        <f t="shared" si="29"/>
        <v>43555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650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59">
        <f t="shared" si="29"/>
        <v>43555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59">
        <f t="shared" si="29"/>
        <v>43555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59">
        <f t="shared" si="29"/>
        <v>43555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59">
        <f t="shared" si="29"/>
        <v>43555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650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59">
        <f t="shared" si="29"/>
        <v>43555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59">
        <f t="shared" si="29"/>
        <v>43555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59">
        <f t="shared" si="29"/>
        <v>43555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59">
        <f t="shared" si="29"/>
        <v>43555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59">
        <f t="shared" si="29"/>
        <v>43555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59">
        <f t="shared" si="29"/>
        <v>43555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59">
        <f t="shared" si="29"/>
        <v>43555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59">
        <f t="shared" si="29"/>
        <v>43555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59">
        <f t="shared" si="29"/>
        <v>43555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59">
        <f t="shared" si="29"/>
        <v>43555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59">
        <f t="shared" si="29"/>
        <v>43555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59">
        <f t="shared" si="29"/>
        <v>43555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59">
        <f t="shared" si="29"/>
        <v>43555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59">
        <f t="shared" si="29"/>
        <v>43555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650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59">
        <f t="shared" si="29"/>
        <v>43555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59">
        <f t="shared" si="29"/>
        <v>43555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59">
        <f t="shared" si="29"/>
        <v>43555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650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59">
        <f t="shared" si="29"/>
        <v>43555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-4522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59">
        <f t="shared" si="29"/>
        <v>43555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59">
        <f t="shared" si="29"/>
        <v>43555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59">
        <f t="shared" si="29"/>
        <v>43555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59">
        <f t="shared" si="29"/>
        <v>43555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-4522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59">
        <f t="shared" si="29"/>
        <v>43555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-102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59">
        <f t="shared" si="29"/>
        <v>43555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59">
        <f t="shared" si="29"/>
        <v>43555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59">
        <f t="shared" si="29"/>
        <v>43555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59">
        <f t="shared" si="29"/>
        <v>43555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59">
        <f t="shared" si="29"/>
        <v>43555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59">
        <f t="shared" si="29"/>
        <v>43555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59">
        <f t="shared" si="29"/>
        <v>43555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59">
        <f t="shared" si="29"/>
        <v>43555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59">
        <f t="shared" si="29"/>
        <v>43555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59">
        <f t="shared" si="29"/>
        <v>43555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59">
        <f t="shared" si="29"/>
        <v>43555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59">
        <f t="shared" si="29"/>
        <v>43555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59">
        <f t="shared" si="29"/>
        <v>43555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-4624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59">
        <f t="shared" si="29"/>
        <v>43555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59">
        <f t="shared" si="29"/>
        <v>43555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59">
        <f t="shared" si="29"/>
        <v>43555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-4624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59">
        <f t="shared" si="29"/>
        <v>43555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59">
        <f t="shared" si="29"/>
        <v>43555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59">
        <f t="shared" si="29"/>
        <v>43555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59">
        <f t="shared" si="29"/>
        <v>43555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59">
        <f t="shared" si="29"/>
        <v>43555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59">
        <f t="shared" si="29"/>
        <v>43555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59">
        <f t="shared" si="29"/>
        <v>43555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59">
        <f t="shared" si="29"/>
        <v>43555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59">
        <f t="shared" si="29"/>
        <v>43555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59">
        <f t="shared" si="29"/>
        <v>43555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59">
        <f t="shared" si="29"/>
        <v>43555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59">
        <f t="shared" si="29"/>
        <v>43555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59">
        <f t="shared" si="29"/>
        <v>43555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59">
        <f t="shared" si="29"/>
        <v>43555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59">
        <f t="shared" si="29"/>
        <v>43555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59">
        <f t="shared" si="29"/>
        <v>43555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59">
        <f aca="true" t="shared" si="32" ref="C410:C459">endDate</f>
        <v>43555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59">
        <f t="shared" si="32"/>
        <v>43555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59">
        <f t="shared" si="32"/>
        <v>43555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59">
        <f t="shared" si="32"/>
        <v>43555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59">
        <f t="shared" si="32"/>
        <v>43555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59">
        <f t="shared" si="32"/>
        <v>43555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59">
        <f t="shared" si="32"/>
        <v>43555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236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59">
        <f t="shared" si="32"/>
        <v>43555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59">
        <f t="shared" si="32"/>
        <v>43555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59">
        <f t="shared" si="32"/>
        <v>43555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59">
        <f t="shared" si="32"/>
        <v>43555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236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59">
        <f t="shared" si="32"/>
        <v>43555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-102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59">
        <f t="shared" si="32"/>
        <v>43555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59">
        <f t="shared" si="32"/>
        <v>43555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59">
        <f t="shared" si="32"/>
        <v>43555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59">
        <f t="shared" si="32"/>
        <v>43555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59">
        <f t="shared" si="32"/>
        <v>43555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59">
        <f t="shared" si="32"/>
        <v>43555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59">
        <f t="shared" si="32"/>
        <v>43555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59">
        <f t="shared" si="32"/>
        <v>43555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59">
        <f t="shared" si="32"/>
        <v>43555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59">
        <f t="shared" si="32"/>
        <v>43555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59">
        <f t="shared" si="32"/>
        <v>43555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59">
        <f t="shared" si="32"/>
        <v>43555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59">
        <f t="shared" si="32"/>
        <v>43555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134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59">
        <f t="shared" si="32"/>
        <v>43555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59">
        <f t="shared" si="32"/>
        <v>43555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59">
        <f t="shared" si="32"/>
        <v>43555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134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59">
        <f t="shared" si="32"/>
        <v>43555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59">
        <f t="shared" si="32"/>
        <v>43555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59">
        <f t="shared" si="32"/>
        <v>43555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59">
        <f t="shared" si="32"/>
        <v>43555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59">
        <f t="shared" si="32"/>
        <v>43555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59">
        <f t="shared" si="32"/>
        <v>43555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59">
        <f t="shared" si="32"/>
        <v>43555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59">
        <f t="shared" si="32"/>
        <v>43555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59">
        <f t="shared" si="32"/>
        <v>43555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59">
        <f t="shared" si="32"/>
        <v>43555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59">
        <f t="shared" si="32"/>
        <v>43555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59">
        <f t="shared" si="32"/>
        <v>43555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59">
        <f t="shared" si="32"/>
        <v>43555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59">
        <f t="shared" si="32"/>
        <v>43555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59">
        <f t="shared" si="32"/>
        <v>43555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59">
        <f t="shared" si="32"/>
        <v>43555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59">
        <f t="shared" si="32"/>
        <v>43555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59">
        <f t="shared" si="32"/>
        <v>43555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59">
        <f t="shared" si="32"/>
        <v>43555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59">
        <f t="shared" si="32"/>
        <v>43555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59">
        <f t="shared" si="32"/>
        <v>43555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59">
        <f t="shared" si="32"/>
        <v>43555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59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5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59">
        <f t="shared" si="35"/>
        <v>43555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59">
        <f t="shared" si="35"/>
        <v>43555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59">
        <f t="shared" si="35"/>
        <v>43555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59">
        <f t="shared" si="35"/>
        <v>43555</v>
      </c>
      <c r="D468" s="92" t="s">
        <v>528</v>
      </c>
      <c r="E468" s="92">
        <v>1</v>
      </c>
      <c r="F468" s="92" t="s">
        <v>517</v>
      </c>
      <c r="H468" s="285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59">
        <f t="shared" si="35"/>
        <v>43555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59">
        <f t="shared" si="35"/>
        <v>43555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59">
        <f t="shared" si="35"/>
        <v>43555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59">
        <f t="shared" si="35"/>
        <v>43555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59">
        <f t="shared" si="35"/>
        <v>43555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59">
        <f t="shared" si="35"/>
        <v>43555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59">
        <f t="shared" si="35"/>
        <v>43555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59">
        <f t="shared" si="35"/>
        <v>43555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59">
        <f t="shared" si="35"/>
        <v>43555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59">
        <f t="shared" si="35"/>
        <v>43555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59">
        <f t="shared" si="35"/>
        <v>43555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59">
        <f t="shared" si="35"/>
        <v>43555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59">
        <f t="shared" si="35"/>
        <v>43555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59">
        <f t="shared" si="35"/>
        <v>43555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59">
        <f t="shared" si="35"/>
        <v>43555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59">
        <f t="shared" si="35"/>
        <v>43555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59">
        <f t="shared" si="35"/>
        <v>43555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59">
        <f t="shared" si="35"/>
        <v>43555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59">
        <f t="shared" si="35"/>
        <v>43555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59">
        <f t="shared" si="35"/>
        <v>43555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59">
        <f t="shared" si="35"/>
        <v>43555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59">
        <f t="shared" si="35"/>
        <v>43555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59">
        <f t="shared" si="35"/>
        <v>43555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59">
        <f t="shared" si="35"/>
        <v>43555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59">
        <f t="shared" si="35"/>
        <v>43555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59">
        <f t="shared" si="35"/>
        <v>43555</v>
      </c>
      <c r="D494" s="92" t="s">
        <v>519</v>
      </c>
      <c r="E494" s="92">
        <v>4</v>
      </c>
      <c r="F494" s="92" t="s">
        <v>518</v>
      </c>
      <c r="H494" s="285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59">
        <f t="shared" si="35"/>
        <v>43555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59">
        <f t="shared" si="35"/>
        <v>43555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59">
        <f t="shared" si="35"/>
        <v>43555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59">
        <f t="shared" si="35"/>
        <v>43555</v>
      </c>
      <c r="D498" s="92" t="s">
        <v>528</v>
      </c>
      <c r="E498" s="92">
        <v>4</v>
      </c>
      <c r="F498" s="92" t="s">
        <v>517</v>
      </c>
      <c r="H498" s="285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59">
        <f t="shared" si="35"/>
        <v>43555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59">
        <f t="shared" si="35"/>
        <v>43555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59">
        <f t="shared" si="35"/>
        <v>43555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59">
        <f t="shared" si="35"/>
        <v>43555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59">
        <f t="shared" si="35"/>
        <v>43555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2019-04-25T08:38:21Z</cp:lastPrinted>
  <dcterms:created xsi:type="dcterms:W3CDTF">2006-09-16T00:00:00Z</dcterms:created>
  <dcterms:modified xsi:type="dcterms:W3CDTF">2019-04-25T08:38:24Z</dcterms:modified>
  <cp:category/>
  <cp:version/>
  <cp:contentType/>
  <cp:contentStatus/>
</cp:coreProperties>
</file>