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EEB"/>
  <workbookPr codeName="ThisWorkbook"/>
  <bookViews>
    <workbookView xWindow="11220" yWindow="180" windowWidth="14775" windowHeight="11325" tabRatio="93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<sst xmlns="http://schemas.openxmlformats.org/spreadsheetml/2006/main" count="1064" uniqueCount="882">
  <si>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</si>
  <si>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</si>
  <si>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</si>
  <si>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</si>
  <si>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</si>
  <si>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</si>
  <si>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</si>
  <si>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</si>
  <si>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</si>
  <si>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</si>
  <si>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</si>
  <si>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</si>
  <si>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</si>
  <si>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</si>
  <si>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</si>
  <si>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</si>
  <si>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</si>
  <si>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</si>
  <si>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</si>
  <si>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</si>
  <si>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</si>
  <si>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</si>
  <si>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</si>
  <si>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</si>
  <si>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</si>
  <si>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</si>
  <si>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</si>
  <si>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</si>
  <si>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</si>
  <si>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</si>
  <si>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</si>
  <si>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</si>
  <si>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</si>
  <si>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</si>
  <si>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</si>
  <si>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</si>
  <si>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</si>
  <si>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</si>
  <si>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</si>
  <si>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</si>
  <si>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</si>
  <si>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</si>
  <si>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</si>
  <si>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</si>
  <si>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</si>
  <si>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</si>
  <si>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</si>
  <si>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</si>
  <si>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</si>
  <si>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</si>
  <si>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</si>
  <si>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</si>
  <si>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</si>
  <si>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</si>
  <si>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</si>
  <si>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</si>
  <si>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</si>
  <si>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</si>
  <si>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</si>
  <si>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</si>
  <si>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</si>
  <si>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</si>
  <si>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</si>
  <si>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</si>
  <si>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</si>
  <si>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</si>
  <si>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</si>
  <si>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</si>
  <si>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</si>
  <si>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</si>
  <si>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</si>
  <si>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</si>
  <si>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</si>
  <si>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</si>
  <si>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</si>
  <si>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</si>
  <si>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</si>
  <si>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</si>
  <si>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</si>
  <si>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</si>
  <si>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</si>
  <si>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</si>
  <si>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</si>
  <si>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</si>
  <si>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</si>
  <si>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</si>
  <si>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</si>
  <si>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</si>
  <si>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</si>
  <si>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</si>
  <si>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</si>
  <si>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</si>
  <si>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</si>
  <si>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</si>
  <si>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</si>
  <si>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</si>
  <si>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</si>
  <si>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</si>
  <si>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</si>
  <si>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</si>
  <si>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</si>
  <si>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</si>
  <si>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</si>
  <si>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</si>
  <si>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</si>
  <si>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</si>
  <si>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</si>
  <si>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</si>
  <si>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</si>
  <si>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</si>
  <si>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</si>
  <si>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</si>
  <si>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</si>
  <si>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</si>
  <si>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</si>
  <si>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</si>
  <si>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</si>
  <si>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</si>
  <si>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</si>
  <si>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</si>
  <si>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</si>
  <si>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</si>
  <si>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</si>
  <si>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</si>
  <si>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</si>
  <si>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</si>
  <si>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</si>
  <si>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</si>
  <si>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</si>
  <si>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</si>
  <si>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</si>
  <si>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</si>
  <si>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</si>
  <si>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</si>
  <si>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</si>
  <si>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</si>
  <si>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</si>
  <si>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</si>
  <si>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</si>
  <si>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</si>
  <si>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</si>
  <si>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</si>
  <si>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</si>
  <si>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</si>
  <si>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</si>
  <si>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</si>
  <si>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</si>
  <si>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</si>
  <si>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</si>
  <si>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</si>
  <si>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</si>
  <si>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</si>
  <si>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</si>
  <si>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</si>
  <si>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</si>
  <si>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</si>
  <si>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</si>
  <si>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</si>
  <si>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</si>
  <si>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</si>
  <si>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</si>
  <si>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</si>
  <si>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</si>
  <si>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</si>
  <si>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</si>
  <si>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</si>
  <si>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</si>
  <si>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</si>
  <si>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</si>
  <si>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</si>
  <si>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</si>
  <si>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</si>
  <si>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</si>
  <si>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</si>
  <si>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</si>
  <si>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</si>
  <si>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</si>
  <si>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</si>
  <si>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</si>
  <si>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</si>
  <si>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</si>
  <si>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</si>
  <si>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</si>
  <si>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</si>
  <si>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</si>
  <si>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</si>
  <si>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</si>
  <si>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</si>
  <si>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</si>
  <si>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</si>
  <si>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</si>
  <si>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</si>
  <si>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</si>
  <si>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</si>
  <si>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</si>
  <si>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</si>
  <si>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</si>
  <si>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</si>
  <si>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</si>
  <si>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</si>
  <si>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</si>
  <si>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</si>
  <si>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</si>
  <si>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</si>
  <si>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</si>
  <si>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</si>
  <si>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</si>
  <si>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</si>
  <si>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</si>
  <si>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</si>
  <si>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</si>
  <si>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</si>
  <si>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</si>
  <si>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</si>
  <si>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</si>
  <si>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</si>
  <si>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</si>
  <si>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</si>
  <si>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</si>
  <si>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</si>
  <si>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</si>
  <si>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</si>
  <si>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</si>
  <si>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</si>
  <si>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</si>
  <si>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</si>
  <si>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</si>
  <si>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</si>
  <si>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</si>
  <si>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</si>
  <si>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</si>
  <si>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</si>
  <si>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</si>
  <si>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</si>
  <si>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</si>
  <si>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</si>
  <si>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</si>
  <si>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</si>
  <si>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</si>
  <si>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</si>
  <si>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</si>
  <si>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</si>
  <si>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</si>
  <si>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</si>
  <si>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</si>
  <si>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</si>
  <si>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</si>
  <si>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</si>
  <si>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</si>
  <si>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</si>
  <si>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</si>
  <si>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</si>
  <si>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</si>
  <si>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</si>
  <si>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</si>
  <si>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</si>
  <si>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</si>
  <si>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</si>
  <si>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</si>
  <si>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</si>
  <si>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</si>
  <si>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</si>
  <si>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</si>
  <si>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</si>
  <si>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</si>
  <si>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</si>
  <si>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</si>
  <si>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</si>
  <si>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</si>
  <si>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</si>
  <si>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</si>
  <si>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</si>
  <si>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</si>
  <si>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</si>
  <si>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</si>
  <si>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</si>
  <si>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</si>
  <si>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</si>
  <si>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</si>
  <si>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</si>
  <si>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</si>
  <si>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</si>
  <si>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</si>
  <si>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</si>
  <si>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</si>
  <si>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</si>
  <si>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</si>
  <si>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</si>
  <si>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</si>
  <si>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</si>
  <si>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</si>
  <si>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</si>
  <si>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</si>
  <si>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</si>
  <si>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</si>
  <si>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</si>
  <si>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</si>
  <si>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</si>
  <si>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</si>
  <si>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</si>
  <si>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</si>
  <si>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</si>
  <si>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</si>
  <si>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</si>
  <si>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</si>
  <si>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</si>
  <si>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</si>
  <si>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</si>
  <si>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</si>
  <si>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</si>
  <si>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</si>
  <si>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</si>
  <si>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</si>
  <si>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</si>
  <si>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</si>
  <si>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</si>
  <si>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</si>
  <si>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</si>
  <si>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</si>
  <si>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</si>
  <si>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</si>
  <si>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</si>
  <si>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</si>
  <si>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</si>
  <si>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</si>
  <si>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</si>
  <si>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</si>
  <si>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</si>
  <si>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</si>
  <si>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</si>
  <si>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</si>
  <si>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</si>
  <si>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</si>
  <si>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</si>
  <si>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</si>
  <si>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</si>
  <si>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</si>
  <si>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</si>
  <si>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</si>
  <si>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</si>
  <si>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</si>
  <si>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</si>
  <si>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</si>
  <si>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</si>
  <si>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</si>
  <si>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</si>
  <si>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</si>
  <si>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</si>
  <si>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</si>
  <si>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</si>
  <si>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</si>
  <si>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</si>
  <si>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</si>
  <si>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</si>
  <si>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</si>
  <si>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</si>
  <si>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</si>
  <si>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</si>
  <si>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</si>
  <si>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</si>
  <si>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</si>
  <si>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</si>
  <si>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</si>
  <si>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</si>
  <si>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</si>
  <si>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</si>
  <si>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</si>
  <si>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</si>
  <si>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</si>
  <si>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</si>
  <si>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</si>
  <si>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</si>
  <si>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</si>
  <si>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</si>
  <si>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</si>
  <si>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</si>
  <si>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</si>
  <si>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</si>
  <si>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</si>
  <si>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</si>
  <si>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</si>
  <si>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</si>
  <si>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</si>
  <si>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</si>
  <si>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</si>
  <si>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</si>
  <si>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</si>
  <si>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</si>
  <si>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</si>
  <si>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</si>
  <si>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</si>
  <si>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</si>
  <si>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</si>
  <si>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</si>
  <si>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</si>
  <si>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</si>
  <si>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</si>
  <si>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</si>
  <si>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</si>
  <si>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</si>
  <si>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</si>
  <si>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</si>
  <si>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</si>
  <si>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</si>
  <si>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</si>
  <si>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</si>
  <si>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</si>
  <si>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</si>
  <si>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</si>
  <si>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</si>
  <si>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</si>
  <si>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</si>
  <si>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</si>
  <si>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</si>
  <si>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</si>
  <si>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</si>
  <si>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</si>
  <si>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</si>
  <si>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</si>
  <si>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</si>
  <si>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</si>
  <si>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</si>
  <si>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</si>
  <si>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</si>
  <si>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</si>
  <si>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</si>
  <si>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</si>
  <si>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</si>
  <si>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</si>
  <si>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</si>
  <si>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</si>
  <si>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</si>
  <si>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</si>
  <si>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</si>
  <si>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</si>
  <si>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</si>
  <si>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</si>
  <si>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</si>
  <si>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</si>
  <si>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</si>
  <si>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</si>
  <si>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</si>
  <si>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</si>
  <si>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</si>
  <si>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</si>
  <si>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</si>
  <si>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</si>
  <si>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</si>
  <si>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</si>
  <si>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</si>
  <si>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</si>
  <si>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</si>
  <si>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</si>
  <si>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</si>
  <si>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</si>
  <si>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</si>
  <si>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</si>
  <si>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</si>
  <si>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</si>
  <si>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</si>
  <si>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</si>
  <si>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</si>
  <si>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</si>
  <si>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</si>
  <si>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</si>
  <si>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</si>
  <si>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</si>
  <si>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</si>
  <si>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</si>
  <si>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</si>
  <si>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</si>
  <si>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</si>
  <si>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</si>
  <si>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</si>
  <si>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</si>
  <si>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</si>
  <si>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</si>
  <si>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</si>
  <si>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</si>
  <si>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</si>
  <si>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</si>
  <si>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</si>
  <si>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</si>
  <si>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</si>
  <si>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</si>
  <si>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</si>
  <si>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</si>
  <si>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</si>
  <si>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</si>
  <si>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</si>
  <si>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</si>
  <si>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</si>
  <si>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</si>
  <si>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</si>
  <si>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</si>
  <si>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</si>
  <si>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</si>
  <si>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</si>
  <si>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</si>
  <si>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</si>
  <si>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</si>
  <si>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</si>
  <si>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</si>
  <si>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</si>
  <si>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</si>
  <si>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</si>
  <si>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</si>
  <si>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</si>
  <si>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</si>
  <si>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</si>
  <si>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</si>
  <si>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</si>
  <si>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</si>
  <si>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</si>
  <si>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</si>
  <si>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</si>
  <si>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</si>
  <si>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</si>
  <si>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</si>
  <si>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</si>
  <si>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</si>
  <si>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</si>
  <si>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</si>
  <si>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</si>
  <si>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</si>
  <si>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</si>
  <si>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</si>
  <si>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</si>
  <si>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</si>
  <si>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</si>
  <si>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</si>
  <si>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</si>
  <si>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</si>
  <si>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</si>
  <si>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</si>
  <si>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</si>
  <si>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</si>
  <si>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</si>
  <si>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</si>
  <si>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</si>
  <si>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</si>
  <si>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</si>
  <si>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</si>
  <si>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</si>
  <si>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</si>
  <si>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</si>
  <si>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</si>
  <si>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</si>
  <si>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</si>
  <si>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</si>
  <si>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</si>
  <si>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</si>
  <si>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</si>
  <si>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</si>
  <si>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</si>
  <si>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</si>
  <si>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</si>
  <si>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</si>
  <si>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</si>
  <si>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</si>
  <si>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</si>
  <si>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</si>
  <si>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</si>
  <si>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</si>
  <si>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</si>
  <si>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</si>
  <si>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</si>
  <si>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</si>
  <si>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</si>
  <si>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</si>
  <si>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</si>
  <si>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</si>
  <si>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</si>
  <si>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</si>
  <si>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</si>
  <si>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</si>
  <si>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</si>
  <si>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</si>
  <si>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</si>
  <si>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</si>
  <si>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</si>
  <si>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</si>
  <si>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</si>
  <si>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</si>
  <si>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</si>
  <si>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</si>
  <si>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</si>
  <si>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</si>
  <si>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</si>
  <si>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</si>
  <si>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</si>
  <si>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</si>
  <si>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</si>
  <si>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</si>
  <si>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</si>
  <si>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</si>
  <si>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</si>
  <si>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</si>
  <si>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</si>
  <si>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</si>
  <si>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</si>
  <si>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</si>
  <si>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</si>
  <si>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</si>
  <si>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</si>
  <si>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</si>
  <si>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</si>
  <si>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</si>
  <si>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</si>
  <si>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</si>
  <si>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</si>
  <si>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</si>
  <si>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</si>
  <si>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</si>
  <si>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</si>
  <si>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</si>
  <si>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</si>
  <si>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</si>
  <si>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</si>
  <si>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</si>
  <si>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</si>
  <si>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</si>
  <si>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</si>
  <si>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</si>
  <si>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</si>
  <si>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</si>
  <si>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</si>
  <si>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</si>
  <si>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</si>
  <si>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</si>
  <si>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</si>
  <si>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</si>
  <si>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</si>
  <si>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</si>
  <si>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</si>
  <si>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</si>
  <si>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</si>
  <si>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</si>
  <si>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</si>
  <si>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</si>
  <si>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</si>
  <si>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</si>
  <si>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</si>
  <si>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</si>
  <si>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</si>
  <si>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</si>
  <si>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</si>
  <si>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</si>
  <si>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</si>
  <si>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</si>
  <si>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</si>
  <si>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</si>
  <si>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</si>
  <si>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</si>
  <si>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</si>
  <si>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</si>
  <si>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</si>
  <si>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</si>
  <si>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</si>
  <si>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</si>
  <si>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</si>
  <si>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</si>
  <si>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</si>
  <si>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</si>
  <si>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</si>
  <si>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</si>
  <si>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</si>
  <si>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</si>
  <si>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</si>
  <si>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</si>
  <si>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</si>
  <si>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</si>
  <si>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</si>
  <si>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</si>
  <si>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</si>
  <si>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</si>
  <si>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</si>
  <si>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</si>
  <si>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</si>
  <si>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</si>
  <si>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</si>
  <si>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</si>
  <si>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</si>
  <si>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</si>
  <si>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</si>
  <si>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</si>
  <si>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</si>
  <si>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</si>
  <si>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</si>
  <si>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</si>
  <si>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</si>
  <si>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</si>
  <si>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</si>
  <si>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</si>
  <si>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</si>
  <si>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</si>
  <si>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</si>
  <si>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</si>
  <si>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</si>
  <si>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</si>
  <si>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</si>
  <si>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</si>
  <si>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</si>
  <si>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</si>
  <si>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</si>
  <si>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</si>
  <si>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</si>
  <si>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</si>
  <si>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</si>
  <si>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</si>
  <si>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</si>
  <si>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</si>
  <si>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</si>
  <si>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</si>
  <si>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</si>
  <si>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</si>
  <si>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</si>
  <si>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</si>
  <si>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</si>
  <si>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</si>
  <si>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</si>
  <si>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</si>
  <si>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</si>
  <si>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</si>
  <si>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</si>
  <si>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</si>
  <si>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</si>
  <si>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</si>
  <si>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</si>
  <si>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</si>
  <si>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</si>
  <si>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</si>
  <si>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</si>
  <si>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</si>
  <si>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</si>
  <si>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</si>
  <si>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</si>
  <si>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</si>
  <si>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</si>
  <si>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</si>
  <si>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</si>
  <si>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</si>
  <si>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</si>
  <si>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</si>
  <si>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</si>
  <si>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</si>
  <si>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</si>
  <si>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</si>
  <si>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</si>
  <si>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</si>
  <si>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</si>
  <si>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</si>
  <si>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</si>
  <si>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</si>
  <si>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</si>
  <si>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</si>
  <si>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</si>
  <si>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</si>
  <si>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</si>
  <si>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</si>
  <si>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</si>
  <si>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</si>
  <si>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</si>
  <si>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</si>
  <si>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</si>
  <si>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</si>
  <si>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</si>
  <si>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</si>
  <si>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</si>
  <si>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</si>
  <si>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</si>
  <si>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</si>
  <si>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</si>
  <si>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</si>
  <si>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</si>
  <si>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</si>
  <si>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</si>
  <si>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</si>
  <si>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</si>
  <si>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</si>
  <si>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</si>
  <si>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</si>
  <si>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</si>
  <si>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</si>
  <si>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</si>
  <si>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</si>
  <si>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</si>
  <si>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</si>
  <si>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</si>
  <si>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</si>
  <si>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</si>
  <si>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</si>
  <si>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</si>
  <si>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</si>
  <si>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</si>
  <si>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</si>
  <si>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</si>
  <si>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</si>
  <si>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</si>
  <si>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</si>
  <si>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</si>
  <si>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</si>
  <si>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</si>
  <si>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</si>
  <si>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</si>
  <si>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</si>
  <si>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</si>
  <si>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</si>
  <si>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</si>
  <si>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</si>
  <si>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</si>
  <si>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</si>
  <si>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</si>
  <si>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</si>
  <si>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</si>
  <si>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</si>
  <si>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</si>
  <si>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</si>
  <si>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</si>
  <si>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</si>
  <si>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</si>
  <si>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</si>
  <si>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</si>
  <si>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</si>
  <si>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</si>
  <si>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</si>
  <si>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</si>
  <si>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</si>
  <si>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</si>
  <si>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</si>
  <si>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</si>
  <si>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</si>
  <si>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</si>
  <si>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</si>
  <si>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</si>
  <si>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</si>
  <si>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</si>
  <si>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</si>
  <si>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</si>
  <si>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</si>
  <si>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</si>
  <si>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</si>
  <si>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</si>
  <si>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</si>
  <si>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</si>
  <si>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</si>
  <si>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</si>
  <si>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</si>
  <si>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</si>
  <si>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</si>
  <si>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</si>
  <si>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</si>
  <si>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</si>
  <si>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</si>
  <si>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</si>
  <si>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</si>
  <si>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</si>
  <si>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</si>
  <si>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</si>
  <si>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</si>
  <si>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</si>
  <si>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040428304</t>
  </si>
  <si>
    <t>Девин АД</t>
  </si>
  <si>
    <t>1. Атлантик дивайн ЕАД</t>
  </si>
  <si>
    <t>2. Девин Роял ЕАД</t>
  </si>
  <si>
    <t>1. Екопак България АД</t>
  </si>
  <si>
    <t>Съставител:…………… /Койчо Желев - Гл.счетодител/</t>
  </si>
  <si>
    <t>Ръководител:…………………. /Цветан Лъжански - Изп.директор/</t>
  </si>
  <si>
    <t>...................................... /Койчо Желев - Гл.счетоводител/</t>
  </si>
  <si>
    <t>....................................../Цветан Лъжански - изп.директор/</t>
  </si>
  <si>
    <t>Януари - Декември 2007 г</t>
  </si>
  <si>
    <t>Дата на съставяне:  30.01.2008г.</t>
  </si>
  <si>
    <t>Съставител: …………………..../Койчо Желев - Гл.счетоводител/</t>
  </si>
  <si>
    <t xml:space="preserve">Дата на съставяне:  30.01.2008г.                  </t>
  </si>
  <si>
    <t xml:space="preserve">Дата  на съставяне: 30.01.2008г.                                                                                                                            </t>
  </si>
  <si>
    <t xml:space="preserve">Съставител: …………………..   /Койчо Желев - Гл.счетоводител/                       </t>
  </si>
  <si>
    <t xml:space="preserve">Дата на съставяне: 30.01.2008г.                     </t>
  </si>
  <si>
    <t>Съставител: ……………….../Койчо Желев - Гл.счетоводител/</t>
  </si>
  <si>
    <t>Дата на съставяне: 30.01.2008г</t>
  </si>
  <si>
    <t>Дата на съставяне: 30.01.2008г.</t>
  </si>
  <si>
    <t>Ръководител: …………………. /Цветан Лъжански - Изп.директор/</t>
  </si>
  <si>
    <r>
      <t xml:space="preserve">Дата на съставяне: </t>
    </r>
    <r>
      <rPr>
        <sz val="10"/>
        <rFont val="Times New Roman"/>
        <family val="1"/>
      </rPr>
      <t>30.01.2008г.</t>
    </r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</si>
</sst>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9" fillId="0" borderId="1" xfId="27" applyFont="1" applyBorder="1" applyAlignment="1" applyProtection="1" quotePrefix="1">
      <alignment vertical="top"/>
      <protection locked="0"/>
    </xf>
    <xf numFmtId="193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5" zoomScaleNormal="75" workbookViewId="0" topLeftCell="A55">
      <selection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862</v>
      </c>
      <c r="F3" s="217" t="s">
        <v>2</v>
      </c>
      <c r="G3" s="172"/>
      <c r="H3" s="575" t="s">
        <v>861</v>
      </c>
    </row>
    <row r="4" spans="1:8" ht="15">
      <c r="A4" s="582" t="s">
        <v>3</v>
      </c>
      <c r="B4" s="588"/>
      <c r="C4" s="588"/>
      <c r="D4" s="588"/>
      <c r="E4" s="504" t="s">
        <v>860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5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1082</v>
      </c>
      <c r="D11" s="151">
        <v>994</v>
      </c>
      <c r="E11" s="237" t="s">
        <v>22</v>
      </c>
      <c r="F11" s="242" t="s">
        <v>23</v>
      </c>
      <c r="G11" s="152">
        <v>17891</v>
      </c>
      <c r="H11" s="152">
        <v>13700</v>
      </c>
    </row>
    <row r="12" spans="1:8" ht="15">
      <c r="A12" s="235" t="s">
        <v>24</v>
      </c>
      <c r="B12" s="241" t="s">
        <v>25</v>
      </c>
      <c r="C12" s="151">
        <v>2717</v>
      </c>
      <c r="D12" s="151">
        <v>2761</v>
      </c>
      <c r="E12" s="237" t="s">
        <v>26</v>
      </c>
      <c r="F12" s="242" t="s">
        <v>27</v>
      </c>
      <c r="G12" s="153">
        <v>17891</v>
      </c>
      <c r="H12" s="153">
        <v>13700</v>
      </c>
    </row>
    <row r="13" spans="1:8" ht="15">
      <c r="A13" s="235" t="s">
        <v>28</v>
      </c>
      <c r="B13" s="241" t="s">
        <v>29</v>
      </c>
      <c r="C13" s="151">
        <v>5484</v>
      </c>
      <c r="D13" s="151">
        <v>6115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739</v>
      </c>
      <c r="D14" s="151">
        <v>780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1066</v>
      </c>
      <c r="D15" s="151">
        <v>696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f>179+88</f>
        <v>267</v>
      </c>
      <c r="D16" s="151">
        <f>80+98-15-8</f>
        <v>155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38</v>
      </c>
      <c r="D17" s="151"/>
      <c r="E17" s="243" t="s">
        <v>46</v>
      </c>
      <c r="F17" s="245" t="s">
        <v>47</v>
      </c>
      <c r="G17" s="154">
        <f>G11+G14+G15+G16</f>
        <v>17891</v>
      </c>
      <c r="H17" s="154">
        <f>H11+H14+H15+H16</f>
        <v>13700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f>3632-179</f>
        <v>3453</v>
      </c>
      <c r="D18" s="151">
        <f>2783-D16</f>
        <v>2628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14846</v>
      </c>
      <c r="D19" s="155">
        <f>SUM(D11:D18)</f>
        <v>14129</v>
      </c>
      <c r="E19" s="237" t="s">
        <v>53</v>
      </c>
      <c r="F19" s="242" t="s">
        <v>54</v>
      </c>
      <c r="G19" s="152">
        <f>15353-5</f>
        <v>15348</v>
      </c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f>7098-35695</f>
        <v>-28597</v>
      </c>
      <c r="H20" s="158">
        <f>7167-35695</f>
        <v>-28528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1125</v>
      </c>
      <c r="H21" s="156">
        <f>SUM(H22:H24)</f>
        <v>1125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5</v>
      </c>
      <c r="H22" s="152">
        <v>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16</v>
      </c>
      <c r="D24" s="151">
        <v>4</v>
      </c>
      <c r="E24" s="237" t="s">
        <v>72</v>
      </c>
      <c r="F24" s="242" t="s">
        <v>73</v>
      </c>
      <c r="G24" s="152">
        <v>1120</v>
      </c>
      <c r="H24" s="152">
        <v>1120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-12124</v>
      </c>
      <c r="H25" s="154">
        <f>H19+H20+H21</f>
        <v>-27403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589</v>
      </c>
      <c r="D26" s="151">
        <v>614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605</v>
      </c>
      <c r="D27" s="155">
        <f>SUM(D23:D26)</f>
        <v>618</v>
      </c>
      <c r="E27" s="253" t="s">
        <v>83</v>
      </c>
      <c r="F27" s="242" t="s">
        <v>84</v>
      </c>
      <c r="G27" s="154">
        <f>SUM(G28:G30)</f>
        <v>396</v>
      </c>
      <c r="H27" s="154">
        <f>SUM(H28:H30)</f>
        <v>790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856</v>
      </c>
      <c r="H28" s="152">
        <v>790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-460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3024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-460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3420</v>
      </c>
      <c r="H33" s="154">
        <f>H27+H31+H32</f>
        <v>330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620</v>
      </c>
      <c r="D34" s="155">
        <f>SUM(D35:D38)</f>
        <v>620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617</v>
      </c>
      <c r="D35" s="151">
        <v>617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3</v>
      </c>
      <c r="D36" s="151">
        <v>3</v>
      </c>
      <c r="E36" s="237" t="s">
        <v>110</v>
      </c>
      <c r="F36" s="261" t="s">
        <v>111</v>
      </c>
      <c r="G36" s="154">
        <f>G25+G17+G33</f>
        <v>9187</v>
      </c>
      <c r="H36" s="154">
        <f>H25+H17+H33</f>
        <v>-13373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9136</v>
      </c>
      <c r="H44" s="152">
        <v>24363</v>
      </c>
    </row>
    <row r="45" spans="1:15" ht="15">
      <c r="A45" s="235" t="s">
        <v>136</v>
      </c>
      <c r="B45" s="249" t="s">
        <v>137</v>
      </c>
      <c r="C45" s="155">
        <f>C34+C39+C44</f>
        <v>620</v>
      </c>
      <c r="D45" s="155">
        <f>D34+D39+D44</f>
        <v>620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824</v>
      </c>
      <c r="H48" s="152">
        <v>591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9960</v>
      </c>
      <c r="H49" s="154">
        <f>SUM(H43:H48)</f>
        <v>24954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44</v>
      </c>
      <c r="H51" s="152">
        <v>44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16071</v>
      </c>
      <c r="D55" s="155">
        <f>D19+D20+D21+D27+D32+D45+D51+D53+D54</f>
        <v>15367</v>
      </c>
      <c r="E55" s="237" t="s">
        <v>172</v>
      </c>
      <c r="F55" s="261" t="s">
        <v>173</v>
      </c>
      <c r="G55" s="154">
        <f>G49+G51+G52+G53+G54</f>
        <v>10004</v>
      </c>
      <c r="H55" s="154">
        <f>H49+H51+H52+H53+H54</f>
        <v>24998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1958</v>
      </c>
      <c r="D58" s="151">
        <v>1304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377</v>
      </c>
      <c r="D59" s="151">
        <v>263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2508</v>
      </c>
      <c r="D60" s="151">
        <v>51</v>
      </c>
      <c r="E60" s="237" t="s">
        <v>185</v>
      </c>
      <c r="F60" s="242" t="s">
        <v>186</v>
      </c>
      <c r="G60" s="152">
        <f>3685+1</f>
        <v>3686</v>
      </c>
      <c r="H60" s="152">
        <v>2846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6929</v>
      </c>
      <c r="H61" s="154">
        <f>SUM(H62:H68)</f>
        <v>5793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924</v>
      </c>
      <c r="H62" s="152">
        <v>2341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4843</v>
      </c>
      <c r="D64" s="155">
        <f>SUM(D58:D63)</f>
        <v>1618</v>
      </c>
      <c r="E64" s="237" t="s">
        <v>200</v>
      </c>
      <c r="F64" s="242" t="s">
        <v>201</v>
      </c>
      <c r="G64" s="152">
        <v>5581</v>
      </c>
      <c r="H64" s="152">
        <v>3046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249</v>
      </c>
      <c r="H66" s="152">
        <v>179</v>
      </c>
    </row>
    <row r="67" spans="1:8" ht="15">
      <c r="A67" s="235" t="s">
        <v>207</v>
      </c>
      <c r="B67" s="241" t="s">
        <v>208</v>
      </c>
      <c r="C67" s="151">
        <v>1798</v>
      </c>
      <c r="D67" s="151">
        <v>2155</v>
      </c>
      <c r="E67" s="237" t="s">
        <v>209</v>
      </c>
      <c r="F67" s="242" t="s">
        <v>210</v>
      </c>
      <c r="G67" s="152">
        <v>82</v>
      </c>
      <c r="H67" s="152">
        <v>68</v>
      </c>
    </row>
    <row r="68" spans="1:8" ht="15">
      <c r="A68" s="235" t="s">
        <v>211</v>
      </c>
      <c r="B68" s="241" t="s">
        <v>212</v>
      </c>
      <c r="C68" s="151">
        <f>6260-60</f>
        <v>6200</v>
      </c>
      <c r="D68" s="151">
        <f>1616-151</f>
        <v>1465</v>
      </c>
      <c r="E68" s="237" t="s">
        <v>213</v>
      </c>
      <c r="F68" s="242" t="s">
        <v>214</v>
      </c>
      <c r="G68" s="152">
        <f>27+66</f>
        <v>93</v>
      </c>
      <c r="H68" s="152">
        <v>159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f>364+146+17</f>
        <v>527</v>
      </c>
      <c r="H69" s="152">
        <f>193+304</f>
        <v>497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11142</v>
      </c>
      <c r="H71" s="161">
        <f>H59+H60+H61+H69+H70</f>
        <v>9136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6443-C68</f>
        <v>243</v>
      </c>
      <c r="D74" s="151">
        <v>126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8241</v>
      </c>
      <c r="D75" s="155">
        <f>SUM(D67:D74)</f>
        <v>3746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31</v>
      </c>
      <c r="H76" s="152">
        <v>46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11173</v>
      </c>
      <c r="H79" s="162">
        <f>H71+H74+H75+H76</f>
        <v>9182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9</v>
      </c>
      <c r="D87" s="151">
        <v>30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1129</v>
      </c>
      <c r="D88" s="151">
        <v>33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1138</v>
      </c>
      <c r="D91" s="155">
        <f>SUM(D87:D90)</f>
        <v>63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71</v>
      </c>
      <c r="D92" s="151">
        <v>13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14293</v>
      </c>
      <c r="D93" s="155">
        <f>D64+D75+D84+D91+D92</f>
        <v>5440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30364</v>
      </c>
      <c r="D94" s="164">
        <f>D93+D55</f>
        <v>20807</v>
      </c>
      <c r="E94" s="449" t="s">
        <v>270</v>
      </c>
      <c r="F94" s="289" t="s">
        <v>271</v>
      </c>
      <c r="G94" s="165">
        <f>G36+G39+G55+G79</f>
        <v>30364</v>
      </c>
      <c r="H94" s="165">
        <f>H36+H39+H55+H79</f>
        <v>20807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6" t="s">
        <v>866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867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tabSelected="1" workbookViewId="0" topLeftCell="A7">
      <selection activeCell="A53" sqref="A5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7" t="str">
        <f>'справка №1-БАЛАНС'!E3</f>
        <v>Девин АД</v>
      </c>
      <c r="C2" s="577"/>
      <c r="D2" s="577"/>
      <c r="E2" s="577"/>
      <c r="F2" s="579" t="s">
        <v>2</v>
      </c>
      <c r="G2" s="579"/>
      <c r="H2" s="526" t="str">
        <f>'справка №1-БАЛАНС'!H3</f>
        <v>040428304</v>
      </c>
    </row>
    <row r="3" spans="1:8" ht="15">
      <c r="A3" s="467" t="s">
        <v>274</v>
      </c>
      <c r="B3" s="577" t="str">
        <f>'справка №1-БАЛАНС'!E4</f>
        <v>неконсолидиран</v>
      </c>
      <c r="C3" s="577"/>
      <c r="D3" s="577"/>
      <c r="E3" s="577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8" t="str">
        <f>'справка №1-БАЛАНС'!E5</f>
        <v>Януари - Декември 2007 г</v>
      </c>
      <c r="C4" s="578"/>
      <c r="D4" s="57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16724</v>
      </c>
      <c r="D9" s="46">
        <v>14733</v>
      </c>
      <c r="E9" s="298" t="s">
        <v>284</v>
      </c>
      <c r="F9" s="549" t="s">
        <v>285</v>
      </c>
      <c r="G9" s="550">
        <v>34525</v>
      </c>
      <c r="H9" s="550">
        <v>25226</v>
      </c>
    </row>
    <row r="10" spans="1:8" ht="12">
      <c r="A10" s="298" t="s">
        <v>286</v>
      </c>
      <c r="B10" s="299" t="s">
        <v>287</v>
      </c>
      <c r="C10" s="46">
        <v>9217</v>
      </c>
      <c r="D10" s="46">
        <v>6838</v>
      </c>
      <c r="E10" s="298" t="s">
        <v>288</v>
      </c>
      <c r="F10" s="549" t="s">
        <v>289</v>
      </c>
      <c r="G10" s="550">
        <v>17678</v>
      </c>
      <c r="H10" s="550">
        <v>4610</v>
      </c>
    </row>
    <row r="11" spans="1:8" ht="12">
      <c r="A11" s="298" t="s">
        <v>290</v>
      </c>
      <c r="B11" s="299" t="s">
        <v>291</v>
      </c>
      <c r="C11" s="46">
        <v>1633</v>
      </c>
      <c r="D11" s="46">
        <v>1303</v>
      </c>
      <c r="E11" s="300" t="s">
        <v>292</v>
      </c>
      <c r="F11" s="549" t="s">
        <v>293</v>
      </c>
      <c r="G11" s="550">
        <v>2482</v>
      </c>
      <c r="H11" s="550">
        <v>661</v>
      </c>
    </row>
    <row r="12" spans="1:8" ht="12">
      <c r="A12" s="298" t="s">
        <v>294</v>
      </c>
      <c r="B12" s="299" t="s">
        <v>295</v>
      </c>
      <c r="C12" s="46">
        <v>4354</v>
      </c>
      <c r="D12" s="46">
        <v>2498</v>
      </c>
      <c r="E12" s="300" t="s">
        <v>78</v>
      </c>
      <c r="F12" s="549" t="s">
        <v>296</v>
      </c>
      <c r="G12" s="550">
        <v>1617</v>
      </c>
      <c r="H12" s="550">
        <v>2037</v>
      </c>
    </row>
    <row r="13" spans="1:18" ht="12">
      <c r="A13" s="298" t="s">
        <v>297</v>
      </c>
      <c r="B13" s="299" t="s">
        <v>298</v>
      </c>
      <c r="C13" s="46">
        <v>781</v>
      </c>
      <c r="D13" s="46">
        <v>535</v>
      </c>
      <c r="E13" s="301" t="s">
        <v>51</v>
      </c>
      <c r="F13" s="551" t="s">
        <v>299</v>
      </c>
      <c r="G13" s="548">
        <f>SUM(G9:G12)</f>
        <v>56302</v>
      </c>
      <c r="H13" s="548">
        <f>SUM(H9:H12)</f>
        <v>32534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17702</v>
      </c>
      <c r="D14" s="46">
        <v>5874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-114</v>
      </c>
      <c r="D15" s="47">
        <v>30</v>
      </c>
      <c r="E15" s="296" t="s">
        <v>304</v>
      </c>
      <c r="F15" s="554" t="s">
        <v>305</v>
      </c>
      <c r="G15" s="550">
        <v>15</v>
      </c>
      <c r="H15" s="550">
        <v>15</v>
      </c>
    </row>
    <row r="16" spans="1:8" ht="12">
      <c r="A16" s="298" t="s">
        <v>306</v>
      </c>
      <c r="B16" s="299" t="s">
        <v>307</v>
      </c>
      <c r="C16" s="47">
        <v>891</v>
      </c>
      <c r="D16" s="47">
        <v>732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51188</v>
      </c>
      <c r="D19" s="49">
        <f>SUM(D9:D15)+D16</f>
        <v>32543</v>
      </c>
      <c r="E19" s="304" t="s">
        <v>316</v>
      </c>
      <c r="F19" s="552" t="s">
        <v>317</v>
      </c>
      <c r="G19" s="550">
        <v>75</v>
      </c>
      <c r="H19" s="550">
        <v>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1898</v>
      </c>
      <c r="D22" s="46">
        <v>435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6</v>
      </c>
      <c r="D24" s="46">
        <v>4</v>
      </c>
      <c r="E24" s="301" t="s">
        <v>103</v>
      </c>
      <c r="F24" s="554" t="s">
        <v>333</v>
      </c>
      <c r="G24" s="548">
        <f>SUM(G19:G23)</f>
        <v>75</v>
      </c>
      <c r="H24" s="548">
        <f>SUM(H19:H23)</f>
        <v>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280</v>
      </c>
      <c r="D25" s="46">
        <v>37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2184</v>
      </c>
      <c r="D26" s="49">
        <f>SUM(D22:D25)</f>
        <v>476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53372</v>
      </c>
      <c r="D28" s="50">
        <f>D26+D19</f>
        <v>33019</v>
      </c>
      <c r="E28" s="127" t="s">
        <v>338</v>
      </c>
      <c r="F28" s="554" t="s">
        <v>339</v>
      </c>
      <c r="G28" s="548">
        <f>G13+G15+G24</f>
        <v>56392</v>
      </c>
      <c r="H28" s="548">
        <f>H13+H15+H24</f>
        <v>32554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3020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465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>
        <v>3</v>
      </c>
      <c r="D32" s="46"/>
      <c r="E32" s="296" t="s">
        <v>348</v>
      </c>
      <c r="F32" s="552" t="s">
        <v>349</v>
      </c>
      <c r="G32" s="550">
        <v>7</v>
      </c>
      <c r="H32" s="550">
        <v>5</v>
      </c>
    </row>
    <row r="33" spans="1:18" ht="12">
      <c r="A33" s="128" t="s">
        <v>350</v>
      </c>
      <c r="B33" s="306" t="s">
        <v>351</v>
      </c>
      <c r="C33" s="49">
        <f>C28-C31+C32</f>
        <v>53375</v>
      </c>
      <c r="D33" s="49">
        <f>D28-D31+D32</f>
        <v>33019</v>
      </c>
      <c r="E33" s="127" t="s">
        <v>352</v>
      </c>
      <c r="F33" s="554" t="s">
        <v>353</v>
      </c>
      <c r="G33" s="53">
        <f>G32-G31+G28</f>
        <v>56399</v>
      </c>
      <c r="H33" s="53">
        <f>H32-H31+H28</f>
        <v>32559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3024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460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3024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460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3024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460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56399</v>
      </c>
      <c r="D42" s="53">
        <f>D33+D35+D39</f>
        <v>33019</v>
      </c>
      <c r="E42" s="128" t="s">
        <v>379</v>
      </c>
      <c r="F42" s="129" t="s">
        <v>380</v>
      </c>
      <c r="G42" s="53">
        <f>G39+G33</f>
        <v>56399</v>
      </c>
      <c r="H42" s="53">
        <f>H39+H33</f>
        <v>33019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0" t="s">
        <v>858</v>
      </c>
      <c r="B45" s="580"/>
      <c r="C45" s="580"/>
      <c r="D45" s="580"/>
      <c r="E45" s="58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81">
        <v>39477</v>
      </c>
      <c r="C48" s="427" t="s">
        <v>381</v>
      </c>
      <c r="D48" s="589" t="s">
        <v>868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90" t="s">
        <v>869</v>
      </c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5">
      <selection activeCell="A99" sqref="A9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Девин АД</v>
      </c>
      <c r="C4" s="541" t="s">
        <v>2</v>
      </c>
      <c r="D4" s="541" t="str">
        <f>'справка №1-БАЛАНС'!H3</f>
        <v>040428304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Януари - Декември 2007 г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59367</v>
      </c>
      <c r="D10" s="54">
        <v>35890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-49442</v>
      </c>
      <c r="D11" s="54">
        <v>-27908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f>-4988+32</f>
        <v>-4956</v>
      </c>
      <c r="D13" s="54">
        <f>-3182+62</f>
        <v>-3120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-3410</v>
      </c>
      <c r="D14" s="54">
        <v>-951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75</v>
      </c>
      <c r="D16" s="54">
        <v>5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-102</v>
      </c>
      <c r="D17" s="54">
        <v>-110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f>-1057+20-1</f>
        <v>-1038</v>
      </c>
      <c r="D19" s="54">
        <v>-473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494</v>
      </c>
      <c r="D20" s="55">
        <f>SUM(D10:D19)</f>
        <v>3333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-1190</v>
      </c>
      <c r="D22" s="54">
        <v>-2080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134</v>
      </c>
      <c r="D23" s="54">
        <v>132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-1056</v>
      </c>
      <c r="D32" s="55">
        <f>SUM(D22:D31)</f>
        <v>-1948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19944</v>
      </c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>
        <v>2325</v>
      </c>
      <c r="E36" s="130"/>
      <c r="F36" s="130"/>
    </row>
    <row r="37" spans="1:6" ht="12">
      <c r="A37" s="332" t="s">
        <v>437</v>
      </c>
      <c r="B37" s="333" t="s">
        <v>438</v>
      </c>
      <c r="C37" s="54">
        <f>-18177-C38-C39-C17</f>
        <v>-15534</v>
      </c>
      <c r="D37" s="54">
        <f>-4150-D38-D39-D17</f>
        <v>-2867</v>
      </c>
      <c r="E37" s="130"/>
      <c r="F37" s="130"/>
    </row>
    <row r="38" spans="1:6" ht="12">
      <c r="A38" s="332" t="s">
        <v>439</v>
      </c>
      <c r="B38" s="333" t="s">
        <v>440</v>
      </c>
      <c r="C38" s="54">
        <v>-745</v>
      </c>
      <c r="D38" s="54">
        <v>-848</v>
      </c>
      <c r="E38" s="130"/>
      <c r="F38" s="130"/>
    </row>
    <row r="39" spans="1:6" ht="12">
      <c r="A39" s="332" t="s">
        <v>441</v>
      </c>
      <c r="B39" s="333" t="s">
        <v>442</v>
      </c>
      <c r="C39" s="54">
        <f>-'справка №2-ОТЧЕТ ЗА ДОХОДИТЕ'!C22-C17</f>
        <v>-1796</v>
      </c>
      <c r="D39" s="54">
        <f>-'справка №2-ОТЧЕТ ЗА ДОХОДИТЕ'!D22-D17</f>
        <v>-325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-82</v>
      </c>
      <c r="E40" s="130"/>
      <c r="F40" s="130"/>
    </row>
    <row r="41" spans="1:8" ht="12">
      <c r="A41" s="332" t="s">
        <v>445</v>
      </c>
      <c r="B41" s="333" t="s">
        <v>446</v>
      </c>
      <c r="C41" s="54">
        <v>-232</v>
      </c>
      <c r="D41" s="54">
        <v>-1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1637</v>
      </c>
      <c r="D42" s="55">
        <f>SUM(D34:D41)</f>
        <v>-1798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1075</v>
      </c>
      <c r="D43" s="55">
        <f>D42+D32+D20</f>
        <v>-413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63</v>
      </c>
      <c r="D44" s="132">
        <v>476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1138</v>
      </c>
      <c r="D45" s="55">
        <f>D44+D43</f>
        <v>63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1138</v>
      </c>
      <c r="D46" s="56">
        <v>63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/>
      <c r="B49" s="435" t="s">
        <v>873</v>
      </c>
      <c r="C49" s="319"/>
      <c r="D49" s="437"/>
      <c r="E49" s="343"/>
      <c r="G49" s="133"/>
      <c r="H49" s="133"/>
    </row>
    <row r="50" spans="1:8" ht="12">
      <c r="A50" s="436" t="s">
        <v>872</v>
      </c>
      <c r="B50" s="436"/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436" t="s">
        <v>867</v>
      </c>
      <c r="B52" s="436"/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">
      <selection activeCell="A99" sqref="A9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Девин АД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 t="str">
        <f>'справка №1-БАЛАНС'!H3</f>
        <v>040428304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8" t="str">
        <f>'справка №1-БАЛАНС'!E5</f>
        <v>Януари - Декември 2007 г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13700</v>
      </c>
      <c r="D11" s="58">
        <f>'справка №1-БАЛАНС'!H19</f>
        <v>0</v>
      </c>
      <c r="E11" s="58">
        <f>'справка №1-БАЛАНС'!H20</f>
        <v>-28528</v>
      </c>
      <c r="F11" s="58">
        <f>'справка №1-БАЛАНС'!H22</f>
        <v>5</v>
      </c>
      <c r="G11" s="58">
        <f>'справка №1-БАЛАНС'!H23</f>
        <v>0</v>
      </c>
      <c r="H11" s="60">
        <v>1120</v>
      </c>
      <c r="I11" s="58">
        <f>'справка №1-БАЛАНС'!H28+'справка №1-БАЛАНС'!H31</f>
        <v>790</v>
      </c>
      <c r="J11" s="58">
        <f>'справка №1-БАЛАНС'!H29+'справка №1-БАЛАНС'!H32</f>
        <v>-460</v>
      </c>
      <c r="K11" s="60"/>
      <c r="L11" s="344">
        <f>SUM(C11:K11)</f>
        <v>-13373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13700</v>
      </c>
      <c r="D15" s="61">
        <f aca="true" t="shared" si="2" ref="D15:M15">D11+D12</f>
        <v>0</v>
      </c>
      <c r="E15" s="61">
        <f t="shared" si="2"/>
        <v>-28528</v>
      </c>
      <c r="F15" s="61">
        <f t="shared" si="2"/>
        <v>5</v>
      </c>
      <c r="G15" s="61">
        <f t="shared" si="2"/>
        <v>0</v>
      </c>
      <c r="H15" s="61">
        <f t="shared" si="2"/>
        <v>1120</v>
      </c>
      <c r="I15" s="61">
        <f t="shared" si="2"/>
        <v>790</v>
      </c>
      <c r="J15" s="61">
        <f t="shared" si="2"/>
        <v>-460</v>
      </c>
      <c r="K15" s="61">
        <f t="shared" si="2"/>
        <v>0</v>
      </c>
      <c r="L15" s="344">
        <f t="shared" si="1"/>
        <v>-13373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3024</v>
      </c>
      <c r="J16" s="345">
        <f>+'справка №1-БАЛАНС'!G32</f>
        <v>0</v>
      </c>
      <c r="K16" s="60"/>
      <c r="L16" s="344">
        <f t="shared" si="1"/>
        <v>3024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v>4191</v>
      </c>
      <c r="D28" s="60">
        <v>15348</v>
      </c>
      <c r="E28" s="60">
        <v>-69</v>
      </c>
      <c r="F28" s="60"/>
      <c r="G28" s="60"/>
      <c r="H28" s="60"/>
      <c r="I28" s="60">
        <v>66</v>
      </c>
      <c r="J28" s="60"/>
      <c r="K28" s="60"/>
      <c r="L28" s="344">
        <f t="shared" si="1"/>
        <v>19536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17891</v>
      </c>
      <c r="D29" s="59">
        <f aca="true" t="shared" si="6" ref="D29:M29">D17+D20+D21+D24+D28+D27+D15+D16</f>
        <v>15348</v>
      </c>
      <c r="E29" s="59">
        <f t="shared" si="6"/>
        <v>-28597</v>
      </c>
      <c r="F29" s="59">
        <f t="shared" si="6"/>
        <v>5</v>
      </c>
      <c r="G29" s="59">
        <f t="shared" si="6"/>
        <v>0</v>
      </c>
      <c r="H29" s="59">
        <f t="shared" si="6"/>
        <v>1120</v>
      </c>
      <c r="I29" s="59">
        <f t="shared" si="6"/>
        <v>3880</v>
      </c>
      <c r="J29" s="59">
        <f t="shared" si="6"/>
        <v>-460</v>
      </c>
      <c r="K29" s="59">
        <f t="shared" si="6"/>
        <v>0</v>
      </c>
      <c r="L29" s="344">
        <f t="shared" si="1"/>
        <v>9187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17891</v>
      </c>
      <c r="D32" s="59">
        <f t="shared" si="7"/>
        <v>15348</v>
      </c>
      <c r="E32" s="59">
        <f t="shared" si="7"/>
        <v>-28597</v>
      </c>
      <c r="F32" s="59">
        <f t="shared" si="7"/>
        <v>5</v>
      </c>
      <c r="G32" s="59">
        <f t="shared" si="7"/>
        <v>0</v>
      </c>
      <c r="H32" s="59">
        <f t="shared" si="7"/>
        <v>1120</v>
      </c>
      <c r="I32" s="59">
        <f t="shared" si="7"/>
        <v>3880</v>
      </c>
      <c r="J32" s="59">
        <f t="shared" si="7"/>
        <v>-460</v>
      </c>
      <c r="K32" s="59">
        <f t="shared" si="7"/>
        <v>0</v>
      </c>
      <c r="L32" s="344">
        <f t="shared" si="1"/>
        <v>9187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859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854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A99" sqref="A9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383</v>
      </c>
      <c r="B2" s="600"/>
      <c r="C2" s="601" t="str">
        <f>'справка №1-БАЛАНС'!E3</f>
        <v>Девин 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040428304</v>
      </c>
      <c r="P2" s="483"/>
      <c r="Q2" s="483"/>
      <c r="R2" s="526"/>
    </row>
    <row r="3" spans="1:18" ht="15">
      <c r="A3" s="599" t="s">
        <v>5</v>
      </c>
      <c r="B3" s="600"/>
      <c r="C3" s="602" t="str">
        <f>'справка №1-БАЛАНС'!E5</f>
        <v>Януари - Декември 2007 г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4" t="s">
        <v>463</v>
      </c>
      <c r="B5" s="605"/>
      <c r="C5" s="608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3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3" t="s">
        <v>529</v>
      </c>
      <c r="R5" s="613" t="s">
        <v>530</v>
      </c>
    </row>
    <row r="6" spans="1:18" s="100" customFormat="1" ht="48">
      <c r="A6" s="606"/>
      <c r="B6" s="607"/>
      <c r="C6" s="60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4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4"/>
      <c r="R6" s="614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1045</v>
      </c>
      <c r="E9" s="189">
        <v>154</v>
      </c>
      <c r="F9" s="189"/>
      <c r="G9" s="74">
        <f>D9+E9-F9</f>
        <v>1199</v>
      </c>
      <c r="H9" s="65"/>
      <c r="I9" s="65"/>
      <c r="J9" s="74">
        <f>G9+H9-I9</f>
        <v>1199</v>
      </c>
      <c r="K9" s="65">
        <v>51</v>
      </c>
      <c r="L9" s="65">
        <v>66</v>
      </c>
      <c r="M9" s="65"/>
      <c r="N9" s="74">
        <f>K9+L9-M9</f>
        <v>117</v>
      </c>
      <c r="O9" s="65"/>
      <c r="P9" s="65"/>
      <c r="Q9" s="74">
        <f aca="true" t="shared" si="0" ref="Q9:Q15">N9+O9-P9</f>
        <v>117</v>
      </c>
      <c r="R9" s="74">
        <f aca="true" t="shared" si="1" ref="R9:R15">J9-Q9</f>
        <v>1082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2795</v>
      </c>
      <c r="E10" s="189"/>
      <c r="F10" s="189"/>
      <c r="G10" s="74">
        <f aca="true" t="shared" si="2" ref="G10:G39">D10+E10-F10</f>
        <v>2795</v>
      </c>
      <c r="H10" s="65"/>
      <c r="I10" s="65"/>
      <c r="J10" s="74">
        <f aca="true" t="shared" si="3" ref="J10:J39">G10+H10-I10</f>
        <v>2795</v>
      </c>
      <c r="K10" s="65">
        <v>32</v>
      </c>
      <c r="L10" s="65">
        <v>46</v>
      </c>
      <c r="M10" s="65"/>
      <c r="N10" s="74">
        <f aca="true" t="shared" si="4" ref="N10:N39">K10+L10-M10</f>
        <v>78</v>
      </c>
      <c r="O10" s="65"/>
      <c r="P10" s="65"/>
      <c r="Q10" s="74">
        <f t="shared" si="0"/>
        <v>78</v>
      </c>
      <c r="R10" s="74">
        <f t="shared" si="1"/>
        <v>2717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f>6557+255</f>
        <v>6812</v>
      </c>
      <c r="E11" s="189">
        <v>148</v>
      </c>
      <c r="F11" s="189">
        <v>41</v>
      </c>
      <c r="G11" s="74">
        <f t="shared" si="2"/>
        <v>6919</v>
      </c>
      <c r="H11" s="65"/>
      <c r="I11" s="65"/>
      <c r="J11" s="74">
        <f t="shared" si="3"/>
        <v>6919</v>
      </c>
      <c r="K11" s="65">
        <f>678+19</f>
        <v>697</v>
      </c>
      <c r="L11" s="65">
        <v>744</v>
      </c>
      <c r="M11" s="65">
        <v>6</v>
      </c>
      <c r="N11" s="74">
        <f t="shared" si="4"/>
        <v>1435</v>
      </c>
      <c r="O11" s="65"/>
      <c r="P11" s="65"/>
      <c r="Q11" s="74">
        <f t="shared" si="0"/>
        <v>1435</v>
      </c>
      <c r="R11" s="74">
        <f t="shared" si="1"/>
        <v>5484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813</v>
      </c>
      <c r="E12" s="189"/>
      <c r="F12" s="189">
        <v>5</v>
      </c>
      <c r="G12" s="74">
        <f t="shared" si="2"/>
        <v>808</v>
      </c>
      <c r="H12" s="65"/>
      <c r="I12" s="65"/>
      <c r="J12" s="74">
        <f t="shared" si="3"/>
        <v>808</v>
      </c>
      <c r="K12" s="65">
        <v>34</v>
      </c>
      <c r="L12" s="65">
        <v>35</v>
      </c>
      <c r="M12" s="65"/>
      <c r="N12" s="74">
        <f t="shared" si="4"/>
        <v>69</v>
      </c>
      <c r="O12" s="65"/>
      <c r="P12" s="65"/>
      <c r="Q12" s="74">
        <f t="shared" si="0"/>
        <v>69</v>
      </c>
      <c r="R12" s="74">
        <f t="shared" si="1"/>
        <v>739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748</v>
      </c>
      <c r="E13" s="189">
        <v>477</v>
      </c>
      <c r="F13" s="189">
        <v>42</v>
      </c>
      <c r="G13" s="74">
        <f t="shared" si="2"/>
        <v>1183</v>
      </c>
      <c r="H13" s="65"/>
      <c r="I13" s="65"/>
      <c r="J13" s="74">
        <f t="shared" si="3"/>
        <v>1183</v>
      </c>
      <c r="K13" s="65">
        <v>53</v>
      </c>
      <c r="L13" s="65">
        <v>73</v>
      </c>
      <c r="M13" s="65">
        <v>9</v>
      </c>
      <c r="N13" s="74">
        <f t="shared" si="4"/>
        <v>117</v>
      </c>
      <c r="O13" s="65"/>
      <c r="P13" s="65"/>
      <c r="Q13" s="74">
        <f t="shared" si="0"/>
        <v>117</v>
      </c>
      <c r="R13" s="74">
        <f t="shared" si="1"/>
        <v>1066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f>3230-D16</f>
        <v>178</v>
      </c>
      <c r="E14" s="189">
        <v>150</v>
      </c>
      <c r="F14" s="189"/>
      <c r="G14" s="74">
        <f t="shared" si="2"/>
        <v>328</v>
      </c>
      <c r="H14" s="65"/>
      <c r="I14" s="65"/>
      <c r="J14" s="74">
        <f t="shared" si="3"/>
        <v>328</v>
      </c>
      <c r="K14" s="65">
        <f>447-K16</f>
        <v>23</v>
      </c>
      <c r="L14" s="65">
        <v>38</v>
      </c>
      <c r="M14" s="65"/>
      <c r="N14" s="74">
        <f t="shared" si="4"/>
        <v>61</v>
      </c>
      <c r="O14" s="65"/>
      <c r="P14" s="65"/>
      <c r="Q14" s="74">
        <f t="shared" si="0"/>
        <v>61</v>
      </c>
      <c r="R14" s="74">
        <f t="shared" si="1"/>
        <v>267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/>
      <c r="E15" s="457">
        <v>38</v>
      </c>
      <c r="F15" s="457"/>
      <c r="G15" s="74">
        <f t="shared" si="2"/>
        <v>38</v>
      </c>
      <c r="H15" s="458"/>
      <c r="I15" s="458"/>
      <c r="J15" s="74">
        <f t="shared" si="3"/>
        <v>38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3052</v>
      </c>
      <c r="E16" s="189">
        <v>1458</v>
      </c>
      <c r="F16" s="189">
        <v>46</v>
      </c>
      <c r="G16" s="74">
        <f t="shared" si="2"/>
        <v>4464</v>
      </c>
      <c r="H16" s="65"/>
      <c r="I16" s="65"/>
      <c r="J16" s="74">
        <f t="shared" si="3"/>
        <v>4464</v>
      </c>
      <c r="K16" s="65">
        <v>424</v>
      </c>
      <c r="L16" s="65">
        <v>596</v>
      </c>
      <c r="M16" s="65">
        <v>9</v>
      </c>
      <c r="N16" s="74">
        <f t="shared" si="4"/>
        <v>1011</v>
      </c>
      <c r="O16" s="65"/>
      <c r="P16" s="65"/>
      <c r="Q16" s="74">
        <f aca="true" t="shared" si="5" ref="Q16:Q25">N16+O16-P16</f>
        <v>1011</v>
      </c>
      <c r="R16" s="74">
        <f aca="true" t="shared" si="6" ref="R16:R25">J16-Q16</f>
        <v>3453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15443</v>
      </c>
      <c r="E17" s="194">
        <f>SUM(E9:E16)</f>
        <v>2425</v>
      </c>
      <c r="F17" s="194">
        <f>SUM(F9:F16)</f>
        <v>134</v>
      </c>
      <c r="G17" s="74">
        <f t="shared" si="2"/>
        <v>17734</v>
      </c>
      <c r="H17" s="75">
        <f>SUM(H9:H16)</f>
        <v>0</v>
      </c>
      <c r="I17" s="75">
        <f>SUM(I9:I16)</f>
        <v>0</v>
      </c>
      <c r="J17" s="74">
        <f t="shared" si="3"/>
        <v>17734</v>
      </c>
      <c r="K17" s="75">
        <f>SUM(K9:K16)</f>
        <v>1314</v>
      </c>
      <c r="L17" s="75">
        <f>SUM(L9:L16)</f>
        <v>1598</v>
      </c>
      <c r="M17" s="75">
        <f>SUM(M9:M16)</f>
        <v>24</v>
      </c>
      <c r="N17" s="74">
        <f t="shared" si="4"/>
        <v>2888</v>
      </c>
      <c r="O17" s="75">
        <f>SUM(O9:O16)</f>
        <v>0</v>
      </c>
      <c r="P17" s="75">
        <f>SUM(P9:P16)</f>
        <v>0</v>
      </c>
      <c r="Q17" s="74">
        <f t="shared" si="5"/>
        <v>2888</v>
      </c>
      <c r="R17" s="74">
        <f t="shared" si="6"/>
        <v>14846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6</v>
      </c>
      <c r="E22" s="189">
        <v>13</v>
      </c>
      <c r="F22" s="189"/>
      <c r="G22" s="74">
        <f t="shared" si="2"/>
        <v>19</v>
      </c>
      <c r="H22" s="65"/>
      <c r="I22" s="65"/>
      <c r="J22" s="74">
        <f t="shared" si="3"/>
        <v>19</v>
      </c>
      <c r="K22" s="65">
        <v>2</v>
      </c>
      <c r="L22" s="65">
        <v>1</v>
      </c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16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>
        <v>645</v>
      </c>
      <c r="E24" s="189">
        <v>10</v>
      </c>
      <c r="F24" s="189"/>
      <c r="G24" s="74">
        <f t="shared" si="2"/>
        <v>655</v>
      </c>
      <c r="H24" s="65"/>
      <c r="I24" s="65"/>
      <c r="J24" s="74">
        <f t="shared" si="3"/>
        <v>655</v>
      </c>
      <c r="K24" s="65">
        <v>31</v>
      </c>
      <c r="L24" s="65">
        <v>35</v>
      </c>
      <c r="M24" s="65"/>
      <c r="N24" s="74">
        <f t="shared" si="4"/>
        <v>66</v>
      </c>
      <c r="O24" s="65"/>
      <c r="P24" s="65"/>
      <c r="Q24" s="74">
        <f t="shared" si="5"/>
        <v>66</v>
      </c>
      <c r="R24" s="74">
        <f t="shared" si="6"/>
        <v>589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651</v>
      </c>
      <c r="E25" s="190">
        <f aca="true" t="shared" si="7" ref="E25:P25">SUM(E21:E24)</f>
        <v>23</v>
      </c>
      <c r="F25" s="190">
        <f t="shared" si="7"/>
        <v>0</v>
      </c>
      <c r="G25" s="67">
        <f t="shared" si="2"/>
        <v>674</v>
      </c>
      <c r="H25" s="66">
        <f t="shared" si="7"/>
        <v>0</v>
      </c>
      <c r="I25" s="66">
        <f t="shared" si="7"/>
        <v>0</v>
      </c>
      <c r="J25" s="67">
        <f t="shared" si="3"/>
        <v>674</v>
      </c>
      <c r="K25" s="66">
        <f t="shared" si="7"/>
        <v>33</v>
      </c>
      <c r="L25" s="66">
        <f t="shared" si="7"/>
        <v>36</v>
      </c>
      <c r="M25" s="66">
        <f t="shared" si="7"/>
        <v>0</v>
      </c>
      <c r="N25" s="67">
        <f t="shared" si="4"/>
        <v>69</v>
      </c>
      <c r="O25" s="66">
        <f t="shared" si="7"/>
        <v>0</v>
      </c>
      <c r="P25" s="66">
        <f t="shared" si="7"/>
        <v>0</v>
      </c>
      <c r="Q25" s="67">
        <f t="shared" si="5"/>
        <v>69</v>
      </c>
      <c r="R25" s="67">
        <f t="shared" si="6"/>
        <v>605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620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620</v>
      </c>
      <c r="H27" s="70">
        <f t="shared" si="8"/>
        <v>0</v>
      </c>
      <c r="I27" s="70">
        <f t="shared" si="8"/>
        <v>0</v>
      </c>
      <c r="J27" s="71">
        <f t="shared" si="3"/>
        <v>620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620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>
        <v>617</v>
      </c>
      <c r="E28" s="189"/>
      <c r="F28" s="189"/>
      <c r="G28" s="74">
        <f t="shared" si="2"/>
        <v>617</v>
      </c>
      <c r="H28" s="65"/>
      <c r="I28" s="65"/>
      <c r="J28" s="74">
        <f t="shared" si="3"/>
        <v>617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617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>
        <v>3</v>
      </c>
      <c r="E29" s="189"/>
      <c r="F29" s="189"/>
      <c r="G29" s="74">
        <f t="shared" si="2"/>
        <v>3</v>
      </c>
      <c r="H29" s="72"/>
      <c r="I29" s="72"/>
      <c r="J29" s="74">
        <f t="shared" si="3"/>
        <v>3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3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620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620</v>
      </c>
      <c r="H38" s="75">
        <f t="shared" si="12"/>
        <v>0</v>
      </c>
      <c r="I38" s="75">
        <f t="shared" si="12"/>
        <v>0</v>
      </c>
      <c r="J38" s="74">
        <f t="shared" si="3"/>
        <v>620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620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16714</v>
      </c>
      <c r="E40" s="438">
        <f>E17+E18+E19+E25+E38+E39</f>
        <v>2448</v>
      </c>
      <c r="F40" s="438">
        <f aca="true" t="shared" si="13" ref="F40:R40">F17+F18+F19+F25+F38+F39</f>
        <v>134</v>
      </c>
      <c r="G40" s="438">
        <f t="shared" si="13"/>
        <v>19028</v>
      </c>
      <c r="H40" s="438">
        <f t="shared" si="13"/>
        <v>0</v>
      </c>
      <c r="I40" s="438">
        <f t="shared" si="13"/>
        <v>0</v>
      </c>
      <c r="J40" s="438">
        <f t="shared" si="13"/>
        <v>19028</v>
      </c>
      <c r="K40" s="438">
        <f t="shared" si="13"/>
        <v>1347</v>
      </c>
      <c r="L40" s="438">
        <f t="shared" si="13"/>
        <v>1634</v>
      </c>
      <c r="M40" s="438">
        <f t="shared" si="13"/>
        <v>24</v>
      </c>
      <c r="N40" s="438">
        <f t="shared" si="13"/>
        <v>2957</v>
      </c>
      <c r="O40" s="438">
        <f t="shared" si="13"/>
        <v>0</v>
      </c>
      <c r="P40" s="438">
        <f t="shared" si="13"/>
        <v>0</v>
      </c>
      <c r="Q40" s="438">
        <f t="shared" si="13"/>
        <v>2957</v>
      </c>
      <c r="R40" s="438">
        <f t="shared" si="13"/>
        <v>16071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875</v>
      </c>
      <c r="I44" s="356"/>
      <c r="J44" s="356"/>
      <c r="K44" s="610"/>
      <c r="L44" s="610"/>
      <c r="M44" s="610"/>
      <c r="N44" s="610"/>
      <c r="O44" s="611" t="s">
        <v>867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80">
      <selection activeCell="A99" sqref="A9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608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Девин АД</v>
      </c>
      <c r="C3" s="622"/>
      <c r="D3" s="526" t="s">
        <v>2</v>
      </c>
      <c r="E3" s="107" t="str">
        <f>'справка №1-БАЛАНС'!H3</f>
        <v>040428304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Януари - Декември 2007 г</v>
      </c>
      <c r="C4" s="620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1798</v>
      </c>
      <c r="D24" s="119">
        <f>SUM(D25:D27)</f>
        <v>1798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f>'справка №1-БАЛАНС'!C67</f>
        <v>1798</v>
      </c>
      <c r="D26" s="108">
        <f>C26</f>
        <v>1798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f>'справка №1-БАЛАНС'!C68</f>
        <v>6200</v>
      </c>
      <c r="D28" s="108">
        <f>C28</f>
        <v>6200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243</v>
      </c>
      <c r="D38" s="105">
        <f>SUM(D39:D42)</f>
        <v>243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>
        <v>1</v>
      </c>
      <c r="D40" s="108">
        <f>C40</f>
        <v>1</v>
      </c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f>'справка №1-БАЛАНС'!C74-C40</f>
        <v>242</v>
      </c>
      <c r="D42" s="108">
        <f>C42</f>
        <v>242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8241</v>
      </c>
      <c r="D43" s="104">
        <f>D24+D28+D29+D31+D30+D32+D33+D38</f>
        <v>8241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8241</v>
      </c>
      <c r="D44" s="103">
        <f>D43+D21+D19+D9</f>
        <v>8241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9136</v>
      </c>
      <c r="D56" s="103">
        <f>D57+D59</f>
        <v>0</v>
      </c>
      <c r="E56" s="119">
        <f t="shared" si="1"/>
        <v>9136</v>
      </c>
      <c r="F56" s="103">
        <f>F57+F59</f>
        <v>9136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>
        <f>'справка №1-БАЛАНС'!G44</f>
        <v>9136</v>
      </c>
      <c r="D57" s="108"/>
      <c r="E57" s="119">
        <f t="shared" si="1"/>
        <v>9136</v>
      </c>
      <c r="F57" s="108">
        <f>C57</f>
        <v>9136</v>
      </c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f>'справка №1-БАЛАНС'!G48</f>
        <v>824</v>
      </c>
      <c r="D64" s="108"/>
      <c r="E64" s="119">
        <f t="shared" si="1"/>
        <v>824</v>
      </c>
      <c r="F64" s="110">
        <f>C64</f>
        <v>824</v>
      </c>
    </row>
    <row r="65" spans="1:6" ht="12">
      <c r="A65" s="396" t="s">
        <v>708</v>
      </c>
      <c r="B65" s="397" t="s">
        <v>709</v>
      </c>
      <c r="C65" s="109">
        <f>C64</f>
        <v>824</v>
      </c>
      <c r="D65" s="109"/>
      <c r="E65" s="119">
        <f t="shared" si="1"/>
        <v>824</v>
      </c>
      <c r="F65" s="111">
        <f>C65</f>
        <v>824</v>
      </c>
    </row>
    <row r="66" spans="1:16" ht="12">
      <c r="A66" s="398" t="s">
        <v>710</v>
      </c>
      <c r="B66" s="394" t="s">
        <v>711</v>
      </c>
      <c r="C66" s="103">
        <f>C52+C56+C61+C62+C63+C64</f>
        <v>9960</v>
      </c>
      <c r="D66" s="103">
        <f>D52+D56+D61+D62+D63+D64</f>
        <v>0</v>
      </c>
      <c r="E66" s="119">
        <f t="shared" si="1"/>
        <v>9960</v>
      </c>
      <c r="F66" s="103">
        <f>F52+F56+F61+F62+F63+F64</f>
        <v>9960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924</v>
      </c>
      <c r="D71" s="105">
        <f>SUM(D72:D74)</f>
        <v>924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>
        <f>'справка №1-БАЛАНС'!G62</f>
        <v>924</v>
      </c>
      <c r="D72" s="108">
        <f>C72</f>
        <v>924</v>
      </c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3686</v>
      </c>
      <c r="D80" s="103">
        <f>SUM(D81:D84)</f>
        <v>3686</v>
      </c>
      <c r="E80" s="103">
        <f>SUM(E81:E84)</f>
        <v>0</v>
      </c>
      <c r="F80" s="103">
        <f>SUM(F81:F84)</f>
        <v>3685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>
        <f>'справка №1-БАЛАНС'!G60-C84</f>
        <v>3685</v>
      </c>
      <c r="D83" s="108">
        <f>C83</f>
        <v>3685</v>
      </c>
      <c r="E83" s="119">
        <f t="shared" si="1"/>
        <v>0</v>
      </c>
      <c r="F83" s="108">
        <f>C83</f>
        <v>3685</v>
      </c>
    </row>
    <row r="84" spans="1:6" ht="12">
      <c r="A84" s="396" t="s">
        <v>739</v>
      </c>
      <c r="B84" s="397" t="s">
        <v>740</v>
      </c>
      <c r="C84" s="108">
        <v>1</v>
      </c>
      <c r="D84" s="108">
        <v>1</v>
      </c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6005</v>
      </c>
      <c r="D85" s="104">
        <f>SUM(D86:D90)+D94</f>
        <v>6005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f>'справка №1-БАЛАНС'!G64</f>
        <v>5581</v>
      </c>
      <c r="D87" s="108">
        <f>C87</f>
        <v>5581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f>'справка №1-БАЛАНС'!G66</f>
        <v>249</v>
      </c>
      <c r="D89" s="108">
        <f>C89</f>
        <v>249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93</v>
      </c>
      <c r="D90" s="103">
        <f>SUM(D91:D93)</f>
        <v>93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66</v>
      </c>
      <c r="D92" s="108">
        <f>C92</f>
        <v>66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27</v>
      </c>
      <c r="D93" s="108">
        <f>C93</f>
        <v>27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82</v>
      </c>
      <c r="D94" s="108">
        <f>C94</f>
        <v>82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f>'справка №1-БАЛАНС'!G69</f>
        <v>527</v>
      </c>
      <c r="D95" s="108">
        <f>C95</f>
        <v>527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11142</v>
      </c>
      <c r="D96" s="104">
        <f>D85+D80+D75+D71+D95</f>
        <v>11142</v>
      </c>
      <c r="E96" s="104">
        <f>E85+E80+E75+E71+E95</f>
        <v>0</v>
      </c>
      <c r="F96" s="104">
        <f>F85+F80+F75+F71+F95</f>
        <v>3685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21102</v>
      </c>
      <c r="D97" s="104">
        <f>D96+D68+D66</f>
        <v>11142</v>
      </c>
      <c r="E97" s="104">
        <f>E96+E68+E66</f>
        <v>9960</v>
      </c>
      <c r="F97" s="104">
        <f>F96+F68+F66</f>
        <v>13645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779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878</v>
      </c>
      <c r="B109" s="616"/>
      <c r="C109" s="616" t="s">
        <v>877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867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A99" sqref="A99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Девин АД</v>
      </c>
      <c r="C4" s="623"/>
      <c r="D4" s="623"/>
      <c r="E4" s="623"/>
      <c r="F4" s="623"/>
      <c r="G4" s="629" t="s">
        <v>2</v>
      </c>
      <c r="H4" s="629"/>
      <c r="I4" s="500" t="str">
        <f>'справка №1-БАЛАНС'!H3</f>
        <v>040428304</v>
      </c>
    </row>
    <row r="5" spans="1:9" ht="15">
      <c r="A5" s="501" t="s">
        <v>5</v>
      </c>
      <c r="B5" s="624" t="str">
        <f>'справка №1-БАЛАНС'!E5</f>
        <v>Януари - Декември 2007 г</v>
      </c>
      <c r="C5" s="624"/>
      <c r="D5" s="624"/>
      <c r="E5" s="624"/>
      <c r="F5" s="624"/>
      <c r="G5" s="627" t="s">
        <v>4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6"/>
      <c r="C30" s="626"/>
      <c r="D30" s="459" t="s">
        <v>818</v>
      </c>
      <c r="E30" s="625"/>
      <c r="F30" s="625"/>
      <c r="G30" s="625"/>
      <c r="H30" s="420" t="s">
        <v>780</v>
      </c>
      <c r="I30" s="625"/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7">
      <selection activeCell="A99" sqref="A99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Девин АД</v>
      </c>
      <c r="C5" s="630"/>
      <c r="D5" s="630"/>
      <c r="E5" s="570" t="s">
        <v>2</v>
      </c>
      <c r="F5" s="451" t="str">
        <f>'справка №1-БАЛАНС'!H3</f>
        <v>040428304</v>
      </c>
    </row>
    <row r="6" spans="1:13" ht="15" customHeight="1">
      <c r="A6" s="27" t="s">
        <v>821</v>
      </c>
      <c r="B6" s="631" t="str">
        <f>'справка №1-БАЛАНС'!E5</f>
        <v>Януари - Декември 2007 г</v>
      </c>
      <c r="C6" s="631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863</v>
      </c>
      <c r="B12" s="37"/>
      <c r="C12" s="441">
        <v>50</v>
      </c>
      <c r="D12" s="576">
        <v>100</v>
      </c>
      <c r="E12" s="441"/>
      <c r="F12" s="443">
        <f>C12-E12</f>
        <v>50</v>
      </c>
    </row>
    <row r="13" spans="1:6" ht="12.75">
      <c r="A13" s="36" t="s">
        <v>864</v>
      </c>
      <c r="B13" s="37"/>
      <c r="C13" s="441">
        <v>567</v>
      </c>
      <c r="D13" s="576">
        <v>100</v>
      </c>
      <c r="E13" s="441"/>
      <c r="F13" s="443">
        <f aca="true" t="shared" si="0" ref="F13:F26">C13-E13</f>
        <v>567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617</v>
      </c>
      <c r="D27" s="429"/>
      <c r="E27" s="429">
        <f>SUM(E12:E26)</f>
        <v>0</v>
      </c>
      <c r="F27" s="442">
        <f>SUM(F12:F26)</f>
        <v>617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865</v>
      </c>
      <c r="B29" s="40"/>
      <c r="C29" s="441">
        <v>3</v>
      </c>
      <c r="D29" s="576">
        <v>5.2</v>
      </c>
      <c r="E29" s="441"/>
      <c r="F29" s="443">
        <f>C29-E29</f>
        <v>3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3</v>
      </c>
      <c r="D44" s="429"/>
      <c r="E44" s="429">
        <f>SUM(E29:E43)</f>
        <v>0</v>
      </c>
      <c r="F44" s="442">
        <f>SUM(F29:F43)</f>
        <v>3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 hidden="1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 hidden="1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 hidden="1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 hidden="1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 hidden="1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 hidden="1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 hidden="1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 hidden="1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 hidden="1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 hidden="1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 hidden="1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 hidden="1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 hidden="1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 hidden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 hidden="1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 hidden="1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 hidden="1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 hidden="1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 hidden="1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 hidden="1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 hidden="1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 hidden="1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 hidden="1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 hidden="1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 hidden="1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 hidden="1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 hidden="1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 hidden="1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 hidden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 hidden="1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620</v>
      </c>
      <c r="D79" s="429"/>
      <c r="E79" s="429">
        <f>E78+E61+E44+E27</f>
        <v>0</v>
      </c>
      <c r="F79" s="442">
        <f>F78+F61+F44+F27</f>
        <v>620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 hidden="1">
      <c r="A80" s="34" t="s">
        <v>841</v>
      </c>
      <c r="B80" s="39"/>
      <c r="C80" s="429"/>
      <c r="D80" s="429"/>
      <c r="E80" s="429"/>
      <c r="F80" s="442"/>
    </row>
    <row r="81" spans="1:6" ht="14.25" customHeight="1" hidden="1">
      <c r="A81" s="36" t="s">
        <v>828</v>
      </c>
      <c r="B81" s="40"/>
      <c r="C81" s="429"/>
      <c r="D81" s="429"/>
      <c r="E81" s="429"/>
      <c r="F81" s="442"/>
    </row>
    <row r="82" spans="1:6" ht="12.75" hidden="1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 hidden="1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 hidden="1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 hidden="1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 hidden="1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 hidden="1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 hidden="1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 hidden="1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 hidden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 hidden="1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 hidden="1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 hidden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 hidden="1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 hidden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 hidden="1">
      <c r="A98" s="36" t="s">
        <v>832</v>
      </c>
      <c r="B98" s="40"/>
      <c r="C98" s="429"/>
      <c r="D98" s="429"/>
      <c r="E98" s="429"/>
      <c r="F98" s="442"/>
    </row>
    <row r="99" spans="1:6" ht="12.75" hidden="1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 hidden="1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 hidden="1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 hidden="1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 hidden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 hidden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 hidden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 hidden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 hidden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 hidden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 hidden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 hidden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 hidden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 hidden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 hidden="1">
      <c r="A115" s="36" t="s">
        <v>834</v>
      </c>
      <c r="B115" s="40"/>
      <c r="C115" s="429"/>
      <c r="D115" s="429"/>
      <c r="E115" s="429"/>
      <c r="F115" s="442"/>
    </row>
    <row r="116" spans="1:6" ht="12.75" hidden="1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 hidden="1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 hidden="1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 hidden="1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 hidden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 hidden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 hidden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 hidden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 hidden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 hidden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 hidden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 hidden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 hidden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 hidden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 hidden="1">
      <c r="A132" s="36" t="s">
        <v>836</v>
      </c>
      <c r="B132" s="40"/>
      <c r="C132" s="429"/>
      <c r="D132" s="429"/>
      <c r="E132" s="429"/>
      <c r="F132" s="442"/>
    </row>
    <row r="133" spans="1:6" ht="12.75" hidden="1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 hidden="1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 hidden="1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 hidden="1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 hidden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 hidden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 hidden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 hidden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 hidden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 hidden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 hidden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 hidden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 hidden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 hidden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 hidden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32" t="s">
        <v>872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880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Nikolai Andreev</cp:lastModifiedBy>
  <cp:lastPrinted>2008-01-30T11:38:10Z</cp:lastPrinted>
  <dcterms:created xsi:type="dcterms:W3CDTF">2000-06-29T12:02:40Z</dcterms:created>
  <dcterms:modified xsi:type="dcterms:W3CDTF">2008-01-31T12:21:00Z</dcterms:modified>
  <cp:category/>
  <cp:version/>
  <cp:contentType/>
  <cp:contentStatus/>
</cp:coreProperties>
</file>