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40" yWindow="65371" windowWidth="9000" windowHeight="1176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<sst xmlns="http://schemas.openxmlformats.org/spreadsheetml/2006/main" count="1060" uniqueCount="877">
  <si>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</si>
  <si>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</si>
  <si>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</si>
  <si>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</si>
  <si>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</si>
  <si>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</si>
  <si>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</si>
  <si>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</si>
  <si>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</si>
  <si>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</si>
  <si>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</si>
  <si>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</si>
  <si>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</si>
  <si>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</si>
  <si>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</si>
  <si>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</si>
  <si>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</si>
  <si>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</si>
  <si>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</si>
  <si>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</si>
  <si>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</si>
  <si>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</si>
  <si>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</si>
  <si>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</si>
  <si>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</si>
  <si>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</si>
  <si>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</si>
  <si>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</si>
  <si>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</si>
  <si>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</si>
  <si>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</si>
  <si>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</si>
  <si>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</si>
  <si>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</si>
  <si>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</si>
  <si>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</si>
  <si>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</si>
  <si>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</si>
  <si>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</si>
  <si>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</si>
  <si>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</si>
  <si>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</si>
  <si>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</si>
  <si>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</si>
  <si>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</si>
  <si>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</si>
  <si>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</si>
  <si>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</si>
  <si>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</si>
  <si>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</si>
  <si>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</si>
  <si>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</si>
  <si>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</si>
  <si>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</si>
  <si>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</si>
  <si>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</si>
  <si>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</si>
  <si>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</si>
  <si>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</si>
  <si>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</si>
  <si>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</si>
  <si>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</si>
  <si>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</si>
  <si>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</si>
  <si>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</si>
  <si>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</si>
  <si>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</si>
  <si>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</si>
  <si>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</si>
  <si>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</si>
  <si>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</si>
  <si>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</si>
  <si>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</si>
  <si>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</si>
  <si>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</si>
  <si>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</si>
  <si>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</si>
  <si>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</si>
  <si>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</si>
  <si>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</si>
  <si>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</si>
  <si>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</si>
  <si>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</si>
  <si>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</si>
  <si>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</si>
  <si>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</si>
  <si>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</si>
  <si>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</si>
  <si>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</si>
  <si>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</si>
  <si>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</si>
  <si>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</si>
  <si>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</si>
  <si>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</si>
  <si>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</si>
  <si>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</si>
  <si>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</si>
  <si>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</si>
  <si>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</si>
  <si>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</si>
  <si>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</si>
  <si>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</si>
  <si>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</si>
  <si>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</si>
  <si>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</si>
  <si>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</si>
  <si>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</si>
  <si>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</si>
  <si>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</si>
  <si>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</si>
  <si>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</si>
  <si>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</si>
  <si>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</si>
  <si>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</si>
  <si>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</si>
  <si>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</si>
  <si>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</si>
  <si>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</si>
  <si>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</si>
  <si>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</si>
  <si>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</si>
  <si>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</si>
  <si>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</si>
  <si>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</si>
  <si>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</si>
  <si>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</si>
  <si>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</si>
  <si>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</si>
  <si>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</si>
  <si>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</si>
  <si>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</si>
  <si>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</si>
  <si>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</si>
  <si>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</si>
  <si>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</si>
  <si>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</si>
  <si>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</si>
  <si>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</si>
  <si>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</si>
  <si>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</si>
  <si>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</si>
  <si>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</si>
  <si>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</si>
  <si>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</si>
  <si>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</si>
  <si>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</si>
  <si>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</si>
  <si>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</si>
  <si>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</si>
  <si>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</si>
  <si>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</si>
  <si>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</si>
  <si>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</si>
  <si>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</si>
  <si>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</si>
  <si>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</si>
  <si>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</si>
  <si>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</si>
  <si>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</si>
  <si>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</si>
  <si>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</si>
  <si>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</si>
  <si>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</si>
  <si>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</si>
  <si>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</si>
  <si>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</si>
  <si>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</si>
  <si>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</si>
  <si>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</si>
  <si>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</si>
  <si>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</si>
  <si>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</si>
  <si>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</si>
  <si>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</si>
  <si>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</si>
  <si>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</si>
  <si>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</si>
  <si>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</si>
  <si>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</si>
  <si>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</si>
  <si>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</si>
  <si>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</si>
  <si>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</si>
  <si>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</si>
  <si>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</si>
  <si>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</si>
  <si>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</si>
  <si>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</si>
  <si>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</si>
  <si>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</si>
  <si>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</si>
  <si>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</si>
  <si>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</si>
  <si>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</si>
  <si>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</si>
  <si>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</si>
  <si>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</si>
  <si>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</si>
  <si>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</si>
  <si>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</si>
  <si>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</si>
  <si>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</si>
  <si>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</si>
  <si>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</si>
  <si>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</si>
  <si>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</si>
  <si>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</si>
  <si>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</si>
  <si>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</si>
  <si>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</si>
  <si>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</si>
  <si>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</si>
  <si>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</si>
  <si>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</si>
  <si>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</si>
  <si>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</si>
  <si>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</si>
  <si>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</si>
  <si>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</si>
  <si>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</si>
  <si>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</si>
  <si>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</si>
  <si>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</si>
  <si>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</si>
  <si>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</si>
  <si>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</si>
  <si>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</si>
  <si>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</si>
  <si>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</si>
  <si>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</si>
  <si>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</si>
  <si>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</si>
  <si>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</si>
  <si>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</si>
  <si>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</si>
  <si>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</si>
  <si>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</si>
  <si>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</si>
  <si>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</si>
  <si>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</si>
  <si>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</si>
  <si>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</si>
  <si>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</si>
  <si>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</si>
  <si>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</si>
  <si>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</si>
  <si>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</si>
  <si>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</si>
  <si>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</si>
  <si>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</si>
  <si>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</si>
  <si>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</si>
  <si>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</si>
  <si>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</si>
  <si>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</si>
  <si>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</si>
  <si>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</si>
  <si>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</si>
  <si>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</si>
  <si>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</si>
  <si>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</si>
  <si>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</si>
  <si>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</si>
  <si>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</si>
  <si>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</si>
  <si>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</si>
  <si>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</si>
  <si>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</si>
  <si>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</si>
  <si>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</si>
  <si>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</si>
  <si>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</si>
  <si>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</si>
  <si>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</si>
  <si>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</si>
  <si>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</si>
  <si>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</si>
  <si>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</si>
  <si>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</si>
  <si>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</si>
  <si>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</si>
  <si>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</si>
  <si>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</si>
  <si>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</si>
  <si>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</si>
  <si>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</si>
  <si>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</si>
  <si>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</si>
  <si>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</si>
  <si>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</si>
  <si>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</si>
  <si>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</si>
  <si>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</si>
  <si>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</si>
  <si>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</si>
  <si>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</si>
  <si>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</si>
  <si>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</si>
  <si>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</si>
  <si>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</si>
  <si>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</si>
  <si>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</si>
  <si>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</si>
  <si>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</si>
  <si>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</si>
  <si>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</si>
  <si>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</si>
  <si>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</si>
  <si>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</si>
  <si>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</si>
  <si>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</si>
  <si>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</si>
  <si>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</si>
  <si>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</si>
  <si>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</si>
  <si>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</si>
  <si>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</si>
  <si>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</si>
  <si>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</si>
  <si>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</si>
  <si>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</si>
  <si>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</si>
  <si>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</si>
  <si>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</si>
  <si>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</si>
  <si>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</si>
  <si>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</si>
  <si>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</si>
  <si>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</si>
  <si>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</si>
  <si>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</si>
  <si>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</si>
  <si>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</si>
  <si>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</si>
  <si>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</si>
  <si>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</si>
  <si>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</si>
  <si>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</si>
  <si>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</si>
  <si>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</si>
  <si>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</si>
  <si>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</si>
  <si>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</si>
  <si>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</si>
  <si>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</si>
  <si>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</si>
  <si>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</si>
  <si>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</si>
  <si>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</si>
  <si>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</si>
  <si>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</si>
  <si>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</si>
  <si>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</si>
  <si>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</si>
  <si>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</si>
  <si>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</si>
  <si>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</si>
  <si>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</si>
  <si>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</si>
  <si>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</si>
  <si>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</si>
  <si>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</si>
  <si>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</si>
  <si>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</si>
  <si>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</si>
  <si>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</si>
  <si>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</si>
  <si>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</si>
  <si>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</si>
  <si>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</si>
  <si>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</si>
  <si>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</si>
  <si>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</si>
  <si>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</si>
  <si>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</si>
  <si>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</si>
  <si>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</si>
  <si>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</si>
  <si>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</si>
  <si>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</si>
  <si>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</si>
  <si>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</si>
  <si>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</si>
  <si>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</si>
  <si>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</si>
  <si>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</si>
  <si>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</si>
  <si>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</si>
  <si>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</si>
  <si>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</si>
  <si>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</si>
  <si>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</si>
  <si>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</si>
  <si>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</si>
  <si>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</si>
  <si>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</si>
  <si>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</si>
  <si>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</si>
  <si>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</si>
  <si>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</si>
  <si>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</si>
  <si>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</si>
  <si>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</si>
  <si>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</si>
  <si>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</si>
  <si>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</si>
  <si>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</si>
  <si>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</si>
  <si>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</si>
  <si>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</si>
  <si>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</si>
  <si>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</si>
  <si>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</si>
  <si>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</si>
  <si>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</si>
  <si>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</si>
  <si>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</si>
  <si>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</si>
  <si>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</si>
  <si>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</si>
  <si>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</si>
  <si>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</si>
  <si>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</si>
  <si>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</si>
  <si>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</si>
  <si>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</si>
  <si>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</si>
  <si>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</si>
  <si>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</si>
  <si>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</si>
  <si>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</si>
  <si>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</si>
  <si>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</si>
  <si>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</si>
  <si>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</si>
  <si>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</si>
  <si>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</si>
  <si>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</si>
  <si>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</si>
  <si>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</si>
  <si>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</si>
  <si>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</si>
  <si>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</si>
  <si>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</si>
  <si>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</si>
  <si>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</si>
  <si>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</si>
  <si>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</si>
  <si>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</si>
  <si>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</si>
  <si>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</si>
  <si>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</si>
  <si>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</si>
  <si>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</si>
  <si>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</si>
  <si>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</si>
  <si>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</si>
  <si>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</si>
  <si>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</si>
  <si>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</si>
  <si>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</si>
  <si>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</si>
  <si>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</si>
  <si>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</si>
  <si>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</si>
  <si>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</si>
  <si>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</si>
  <si>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</si>
  <si>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</si>
  <si>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</si>
  <si>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</si>
  <si>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</si>
  <si>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</si>
  <si>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</si>
  <si>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</si>
  <si>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</si>
  <si>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</si>
  <si>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</si>
  <si>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</si>
  <si>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</si>
  <si>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</si>
  <si>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</si>
  <si>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</si>
  <si>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</si>
  <si>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</si>
  <si>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</si>
  <si>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</si>
  <si>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</si>
  <si>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</si>
  <si>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</si>
  <si>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</si>
  <si>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</si>
  <si>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</si>
  <si>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</si>
  <si>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</si>
  <si>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</si>
  <si>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</si>
  <si>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</si>
  <si>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</si>
  <si>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</si>
  <si>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</si>
  <si>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</si>
  <si>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</si>
  <si>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</si>
  <si>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</si>
  <si>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</si>
  <si>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</si>
  <si>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</si>
  <si>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</si>
  <si>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</si>
  <si>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</si>
  <si>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</si>
  <si>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</si>
  <si>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</si>
  <si>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</si>
  <si>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</si>
  <si>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</si>
  <si>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</si>
  <si>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</si>
  <si>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</si>
  <si>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</si>
  <si>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</si>
  <si>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</si>
  <si>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</si>
  <si>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</si>
  <si>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</si>
  <si>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</si>
  <si>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</si>
  <si>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</si>
  <si>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</si>
  <si>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</si>
  <si>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</si>
  <si>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</si>
  <si>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</si>
  <si>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</si>
  <si>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</si>
  <si>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</si>
  <si>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</si>
  <si>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</si>
  <si>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</si>
  <si>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</si>
  <si>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</si>
  <si>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</si>
  <si>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</si>
  <si>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</si>
  <si>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</si>
  <si>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</si>
  <si>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</si>
  <si>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</si>
  <si>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</si>
  <si>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</si>
  <si>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</si>
  <si>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</si>
  <si>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</si>
  <si>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</si>
  <si>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</si>
  <si>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</si>
  <si>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</si>
  <si>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</si>
  <si>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</si>
  <si>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</si>
  <si>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</si>
  <si>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</si>
  <si>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</si>
  <si>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</si>
  <si>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</si>
  <si>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</si>
  <si>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</si>
  <si>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</si>
  <si>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</si>
  <si>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</si>
  <si>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</si>
  <si>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</si>
  <si>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</si>
  <si>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</si>
  <si>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</si>
  <si>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</si>
  <si>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</si>
  <si>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</si>
  <si>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</si>
  <si>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</si>
  <si>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</si>
  <si>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</si>
  <si>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</si>
  <si>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</si>
  <si>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</si>
  <si>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</si>
  <si>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</si>
  <si>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</si>
  <si>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</si>
  <si>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</si>
  <si>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</si>
  <si>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</si>
  <si>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</si>
  <si>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</si>
  <si>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</si>
  <si>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</si>
  <si>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</si>
  <si>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</si>
  <si>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</si>
  <si>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</si>
  <si>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</si>
  <si>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</si>
  <si>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</si>
  <si>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</si>
  <si>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</si>
  <si>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</si>
  <si>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</si>
  <si>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</si>
  <si>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</si>
  <si>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</si>
  <si>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</si>
  <si>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</si>
  <si>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</si>
  <si>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</si>
  <si>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</si>
  <si>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</si>
  <si>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</si>
  <si>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</si>
  <si>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</si>
  <si>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</si>
  <si>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</si>
  <si>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</si>
  <si>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</si>
  <si>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</si>
  <si>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</si>
  <si>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</si>
  <si>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</si>
  <si>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</si>
  <si>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</si>
  <si>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</si>
  <si>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</si>
  <si>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</si>
  <si>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</si>
  <si>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</si>
  <si>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</si>
  <si>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</si>
  <si>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</si>
  <si>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</si>
  <si>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</si>
  <si>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</si>
  <si>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</si>
  <si>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</si>
  <si>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</si>
  <si>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</si>
  <si>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</si>
  <si>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</si>
  <si>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</si>
  <si>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</si>
  <si>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</si>
  <si>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</si>
  <si>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</si>
  <si>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</si>
  <si>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</si>
  <si>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</si>
  <si>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</si>
  <si>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</si>
  <si>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</si>
  <si>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</si>
  <si>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</si>
  <si>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</si>
  <si>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</si>
  <si>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</si>
  <si>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</si>
  <si>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</si>
  <si>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</si>
  <si>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</si>
  <si>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</si>
  <si>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</si>
  <si>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</si>
  <si>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</si>
  <si>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</si>
  <si>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</si>
  <si>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</si>
  <si>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</si>
  <si>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</si>
  <si>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</si>
  <si>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</si>
  <si>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</si>
  <si>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</si>
  <si>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</si>
  <si>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</si>
  <si>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</si>
  <si>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</si>
  <si>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</si>
  <si>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</si>
  <si>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</si>
  <si>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</si>
  <si>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</si>
  <si>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</si>
  <si>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</si>
  <si>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</si>
  <si>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</si>
  <si>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</si>
  <si>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</si>
  <si>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</si>
  <si>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</si>
  <si>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</si>
  <si>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</si>
  <si>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</si>
  <si>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</si>
  <si>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</si>
  <si>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</si>
  <si>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</si>
  <si>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</si>
  <si>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</si>
  <si>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</si>
  <si>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</si>
  <si>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</si>
  <si>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</si>
  <si>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</si>
  <si>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</si>
  <si>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</si>
  <si>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</si>
  <si>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</si>
  <si>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</si>
  <si>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</si>
  <si>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</si>
  <si>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</si>
  <si>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</si>
  <si>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</si>
  <si>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</si>
  <si>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</si>
  <si>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</si>
  <si>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</si>
  <si>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</si>
  <si>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</si>
  <si>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</si>
  <si>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</si>
  <si>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</si>
  <si>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</si>
  <si>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</si>
  <si>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</si>
  <si>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</si>
  <si>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</si>
  <si>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</si>
  <si>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</si>
  <si>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</si>
  <si>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</si>
  <si>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</si>
  <si>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</si>
  <si>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</si>
  <si>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</si>
  <si>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</si>
  <si>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</si>
  <si>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</si>
  <si>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</si>
  <si>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</si>
  <si>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</si>
  <si>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</si>
  <si>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</si>
  <si>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</si>
  <si>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</si>
  <si>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</si>
  <si>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</si>
  <si>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</si>
  <si>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</si>
  <si>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</si>
  <si>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</si>
  <si>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</si>
  <si>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</si>
  <si>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</si>
  <si>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</si>
  <si>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</si>
  <si>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</si>
  <si>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</si>
  <si>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</si>
  <si>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</si>
  <si>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</si>
  <si>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</si>
  <si>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</si>
  <si>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</si>
  <si>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</si>
  <si>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</si>
  <si>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</si>
  <si>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</si>
  <si>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</si>
  <si>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</si>
  <si>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</si>
  <si>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</si>
  <si>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</si>
  <si>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</si>
  <si>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</si>
  <si>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</si>
  <si>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</si>
  <si>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</si>
  <si>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</si>
  <si>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</si>
  <si>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</si>
  <si>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</si>
  <si>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</si>
  <si>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</si>
  <si>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</si>
  <si>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</si>
  <si>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</si>
  <si>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</si>
  <si>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</si>
  <si>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</si>
  <si>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</si>
  <si>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</si>
  <si>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</si>
  <si>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</si>
  <si>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</si>
  <si>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</si>
  <si>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</si>
  <si>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</si>
  <si>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</si>
  <si>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</si>
  <si>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</si>
  <si>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</si>
  <si>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</si>
  <si>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</si>
  <si>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</si>
  <si>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</si>
  <si>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</si>
  <si>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</si>
  <si>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</si>
  <si>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</si>
  <si>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</si>
  <si>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</si>
  <si>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</si>
  <si>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</si>
  <si>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</si>
  <si>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</si>
  <si>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</si>
  <si>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</si>
  <si>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</si>
  <si>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</si>
  <si>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</si>
  <si>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</si>
  <si>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</si>
  <si>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</si>
  <si>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</si>
  <si>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</si>
  <si>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</si>
  <si>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</si>
  <si>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</si>
  <si>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</si>
  <si>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</si>
  <si>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</si>
  <si>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</si>
  <si>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</si>
  <si>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</si>
  <si>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</si>
  <si>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</si>
  <si>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</si>
  <si>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</si>
  <si>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</si>
  <si>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</si>
  <si>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</si>
  <si>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</si>
  <si>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</si>
  <si>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</si>
  <si>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</si>
  <si>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</si>
  <si>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</si>
  <si>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</si>
  <si>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</si>
  <si>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</si>
  <si>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</si>
  <si>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</si>
  <si>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</si>
  <si>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</si>
  <si>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</si>
  <si>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</si>
  <si>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</si>
  <si>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</si>
  <si>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</si>
  <si>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</si>
  <si>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</si>
  <si>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"СТАРТ" АД</t>
  </si>
  <si>
    <t>2. "МОНБАТ РИСАЙКЛИНГ" ЕАД</t>
  </si>
  <si>
    <t>1. MONBAT UK</t>
  </si>
  <si>
    <t>2. МОНБАТ РУМЪНИЯ ООД</t>
  </si>
  <si>
    <t>3. "ОКТА ЛАЙТ БЪЛГАРИЯ" АД</t>
  </si>
  <si>
    <t xml:space="preserve">          </t>
  </si>
  <si>
    <t>03.2011 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</si>
</sst>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2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G64" sqref="G64: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573" t="s">
        <v>868</v>
      </c>
      <c r="F3" s="217" t="s">
        <v>2</v>
      </c>
      <c r="G3" s="172"/>
      <c r="H3" s="574">
        <v>111028849</v>
      </c>
    </row>
    <row r="4" spans="1:8" ht="15">
      <c r="A4" s="580" t="s">
        <v>3</v>
      </c>
      <c r="B4" s="582"/>
      <c r="C4" s="582"/>
      <c r="D4" s="582"/>
      <c r="E4" s="573" t="s">
        <v>869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3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4038</v>
      </c>
      <c r="D11" s="151">
        <v>4038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8997</v>
      </c>
      <c r="D12" s="151">
        <v>8961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15992</v>
      </c>
      <c r="D13" s="151">
        <v>15537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1737</v>
      </c>
      <c r="D14" s="151">
        <v>1734</v>
      </c>
      <c r="E14" s="243" t="s">
        <v>34</v>
      </c>
      <c r="F14" s="242" t="s">
        <v>35</v>
      </c>
      <c r="G14" s="316">
        <v>-1737</v>
      </c>
      <c r="H14" s="316">
        <v>-1674</v>
      </c>
    </row>
    <row r="15" spans="1:8" ht="15">
      <c r="A15" s="235" t="s">
        <v>36</v>
      </c>
      <c r="B15" s="241" t="s">
        <v>37</v>
      </c>
      <c r="C15" s="151">
        <v>1273</v>
      </c>
      <c r="D15" s="151">
        <v>1229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694</v>
      </c>
      <c r="D16" s="151">
        <v>746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12907</v>
      </c>
      <c r="D17" s="151">
        <v>11609</v>
      </c>
      <c r="E17" s="243" t="s">
        <v>46</v>
      </c>
      <c r="F17" s="245" t="s">
        <v>47</v>
      </c>
      <c r="G17" s="154">
        <f>G11+G14+G15+G16</f>
        <v>37263</v>
      </c>
      <c r="H17" s="154">
        <f>H11+H14+H15+H16</f>
        <v>37326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45638</v>
      </c>
      <c r="D19" s="155">
        <f>SUM(D11:D18)</f>
        <v>43854</v>
      </c>
      <c r="E19" s="237" t="s">
        <v>53</v>
      </c>
      <c r="F19" s="242" t="s">
        <v>54</v>
      </c>
      <c r="G19" s="152">
        <v>18830</v>
      </c>
      <c r="H19" s="152">
        <v>19183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2">
        <v>5969</v>
      </c>
      <c r="H20" s="152">
        <v>5969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53044</v>
      </c>
      <c r="H21" s="156">
        <f>SUM(H22:H24)</f>
        <v>53044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53044</v>
      </c>
      <c r="H22" s="152">
        <v>53044</v>
      </c>
    </row>
    <row r="23" spans="1:13" ht="15">
      <c r="A23" s="235" t="s">
        <v>66</v>
      </c>
      <c r="B23" s="241" t="s">
        <v>67</v>
      </c>
      <c r="C23" s="151">
        <v>129</v>
      </c>
      <c r="D23" s="151">
        <v>134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77843</v>
      </c>
      <c r="H25" s="154">
        <f>H19+H20+H21</f>
        <v>78196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138</v>
      </c>
      <c r="D27" s="155">
        <f>SUM(D23:D26)</f>
        <v>143</v>
      </c>
      <c r="E27" s="253" t="s">
        <v>83</v>
      </c>
      <c r="F27" s="242" t="s">
        <v>84</v>
      </c>
      <c r="G27" s="154">
        <f>SUM(G28:G30)</f>
        <v>14606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14606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1800</v>
      </c>
      <c r="H31" s="152">
        <v>14606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16406</v>
      </c>
      <c r="H33" s="154">
        <f>H27+H31+H32</f>
        <v>14606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44543</v>
      </c>
      <c r="D34" s="155">
        <f>SUM(D35:D38)</f>
        <v>44543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44543</v>
      </c>
      <c r="D35" s="151">
        <f>44545-2</f>
        <v>44543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131512</v>
      </c>
      <c r="H36" s="154">
        <f>H25+H17+H33</f>
        <v>130128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17939</v>
      </c>
      <c r="H44" s="152">
        <v>15691</v>
      </c>
    </row>
    <row r="45" spans="1:15" ht="15">
      <c r="A45" s="235" t="s">
        <v>136</v>
      </c>
      <c r="B45" s="249" t="s">
        <v>137</v>
      </c>
      <c r="C45" s="155">
        <f>C34+C39+C44</f>
        <v>44543</v>
      </c>
      <c r="D45" s="155">
        <f>D34+D39+D44</f>
        <v>44543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1179</v>
      </c>
      <c r="H46" s="152">
        <v>1267</v>
      </c>
    </row>
    <row r="47" spans="1:13" ht="15">
      <c r="A47" s="235" t="s">
        <v>143</v>
      </c>
      <c r="B47" s="241" t="s">
        <v>144</v>
      </c>
      <c r="C47" s="151">
        <v>22112</v>
      </c>
      <c r="D47" s="151">
        <v>22498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19118</v>
      </c>
      <c r="H49" s="154">
        <f>SUM(H43:H48)</f>
        <v>16958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22112</v>
      </c>
      <c r="D51" s="155">
        <f>SUM(D47:D50)</f>
        <v>22498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2470</v>
      </c>
      <c r="H53" s="152">
        <v>2470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112431</v>
      </c>
      <c r="D55" s="155">
        <f>D19+D20+D21+D27+D32+D45+D51+D53+D54</f>
        <v>111038</v>
      </c>
      <c r="E55" s="237" t="s">
        <v>172</v>
      </c>
      <c r="F55" s="261" t="s">
        <v>173</v>
      </c>
      <c r="G55" s="154">
        <f>G49+G51+G52+G53+G54</f>
        <v>21588</v>
      </c>
      <c r="H55" s="154">
        <f>H49+H51+H52+H53+H54</f>
        <v>19428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1432</v>
      </c>
      <c r="D58" s="151">
        <v>2820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2096</v>
      </c>
      <c r="D59" s="151">
        <v>3642</v>
      </c>
      <c r="E59" s="251" t="s">
        <v>181</v>
      </c>
      <c r="F59" s="242" t="s">
        <v>182</v>
      </c>
      <c r="G59" s="152">
        <v>25226</v>
      </c>
      <c r="H59" s="152">
        <v>24233</v>
      </c>
      <c r="M59" s="157"/>
    </row>
    <row r="60" spans="1:8" ht="15">
      <c r="A60" s="235" t="s">
        <v>183</v>
      </c>
      <c r="B60" s="241" t="s">
        <v>184</v>
      </c>
      <c r="C60" s="151">
        <v>80</v>
      </c>
      <c r="D60" s="151">
        <v>84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20048</v>
      </c>
      <c r="D61" s="151">
        <v>20997</v>
      </c>
      <c r="E61" s="243" t="s">
        <v>189</v>
      </c>
      <c r="F61" s="272" t="s">
        <v>190</v>
      </c>
      <c r="G61" s="154">
        <f>SUM(G62:G68)</f>
        <v>14736</v>
      </c>
      <c r="H61" s="154">
        <f>SUM(H62:H68)</f>
        <v>18744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9079</v>
      </c>
      <c r="H62" s="152">
        <f>30+7766+22+2116</f>
        <v>9934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343</v>
      </c>
      <c r="H63" s="152">
        <v>343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23656</v>
      </c>
      <c r="D64" s="155">
        <f>SUM(D58:D63)</f>
        <v>27543</v>
      </c>
      <c r="E64" s="237" t="s">
        <v>200</v>
      </c>
      <c r="F64" s="242" t="s">
        <v>201</v>
      </c>
      <c r="G64" s="152">
        <f>4768-28</f>
        <v>4740</v>
      </c>
      <c r="H64" s="152">
        <f>17158-7766-22-2116-35</f>
        <v>7219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28</f>
        <v>28</v>
      </c>
      <c r="H65" s="152">
        <v>35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157</v>
      </c>
      <c r="H66" s="152">
        <v>260</v>
      </c>
    </row>
    <row r="67" spans="1:8" ht="15">
      <c r="A67" s="235" t="s">
        <v>207</v>
      </c>
      <c r="B67" s="241" t="s">
        <v>208</v>
      </c>
      <c r="C67" s="151">
        <v>29780</v>
      </c>
      <c r="D67" s="151">
        <f>4672+18949+29+391</f>
        <v>24041</v>
      </c>
      <c r="E67" s="237" t="s">
        <v>209</v>
      </c>
      <c r="F67" s="242" t="s">
        <v>210</v>
      </c>
      <c r="G67" s="152">
        <v>305</v>
      </c>
      <c r="H67" s="152">
        <v>308</v>
      </c>
    </row>
    <row r="68" spans="1:8" ht="15">
      <c r="A68" s="235" t="s">
        <v>211</v>
      </c>
      <c r="B68" s="241" t="s">
        <v>212</v>
      </c>
      <c r="C68" s="151">
        <f>18309-248</f>
        <v>18061</v>
      </c>
      <c r="D68" s="151">
        <f>40511-18949-29-391-365+1</f>
        <v>20778</v>
      </c>
      <c r="E68" s="237" t="s">
        <v>213</v>
      </c>
      <c r="F68" s="242" t="s">
        <v>214</v>
      </c>
      <c r="G68" s="152">
        <v>84</v>
      </c>
      <c r="H68" s="152">
        <v>645</v>
      </c>
    </row>
    <row r="69" spans="1:8" ht="15">
      <c r="A69" s="235" t="s">
        <v>215</v>
      </c>
      <c r="B69" s="241" t="s">
        <v>216</v>
      </c>
      <c r="C69" s="151">
        <f>639-391</f>
        <v>248</v>
      </c>
      <c r="D69" s="151">
        <f>785-29-391</f>
        <v>365</v>
      </c>
      <c r="E69" s="251" t="s">
        <v>78</v>
      </c>
      <c r="F69" s="242" t="s">
        <v>217</v>
      </c>
      <c r="G69" s="152">
        <v>1085</v>
      </c>
      <c r="H69" s="152">
        <f>933+2</f>
        <v>935</v>
      </c>
    </row>
    <row r="70" spans="1:8" ht="15">
      <c r="A70" s="235" t="s">
        <v>218</v>
      </c>
      <c r="B70" s="241" t="s">
        <v>219</v>
      </c>
      <c r="C70" s="151">
        <v>744</v>
      </c>
      <c r="D70" s="151">
        <v>789</v>
      </c>
      <c r="E70" s="237" t="s">
        <v>220</v>
      </c>
      <c r="F70" s="242" t="s">
        <v>221</v>
      </c>
      <c r="G70" s="152">
        <v>122</v>
      </c>
      <c r="H70" s="152">
        <v>122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41169</v>
      </c>
      <c r="H71" s="161">
        <f>H59+H60+H61+H69+H70</f>
        <v>44034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3892</v>
      </c>
      <c r="D72" s="151">
        <v>5604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333</v>
      </c>
      <c r="D74" s="151">
        <f>327+149</f>
        <v>476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53058</v>
      </c>
      <c r="D75" s="155">
        <f>SUM(D67:D74)</f>
        <v>52053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</v>
      </c>
      <c r="D78" s="155">
        <f>SUM(D79:D81)</f>
        <v>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41169</v>
      </c>
      <c r="H79" s="162">
        <f>H71+H74+H75+H76</f>
        <v>44034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</v>
      </c>
      <c r="D81" s="151">
        <v>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</v>
      </c>
      <c r="D84" s="155">
        <f>D83+D82+D78</f>
        <v>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167</v>
      </c>
      <c r="D87" s="151">
        <v>276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2345</v>
      </c>
      <c r="D88" s="151">
        <v>403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103</v>
      </c>
      <c r="D89" s="151">
        <v>102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2615</v>
      </c>
      <c r="D91" s="155">
        <f>SUM(D87:D90)</f>
        <v>781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2507</v>
      </c>
      <c r="D92" s="151">
        <v>2173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81838</v>
      </c>
      <c r="D93" s="155">
        <f>D64+D75+D84+D91+D92</f>
        <v>82552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194269</v>
      </c>
      <c r="D94" s="164">
        <f>D93+D55</f>
        <v>193590</v>
      </c>
      <c r="E94" s="449" t="s">
        <v>270</v>
      </c>
      <c r="F94" s="289" t="s">
        <v>271</v>
      </c>
      <c r="G94" s="165">
        <f>G36+G39+G55+G79</f>
        <v>194269</v>
      </c>
      <c r="H94" s="165">
        <f>H36+H39+H55+H79</f>
        <v>193590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8" t="s">
        <v>273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1" ht="12.75">
      <c r="G101" s="169" t="s">
        <v>875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30" zoomScaleNormal="130" zoomScalePageLayoutView="0" workbookViewId="0" topLeftCell="B25">
      <selection activeCell="G57" sqref="G5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5" t="str">
        <f>'справка №1-БАЛАНС'!E3</f>
        <v>"МОНБАТ" АД</v>
      </c>
      <c r="C2" s="585"/>
      <c r="D2" s="585"/>
      <c r="E2" s="585"/>
      <c r="F2" s="587" t="s">
        <v>2</v>
      </c>
      <c r="G2" s="587"/>
      <c r="H2" s="524">
        <f>'справка №1-БАЛАНС'!H3</f>
        <v>111028849</v>
      </c>
    </row>
    <row r="3" spans="1:8" ht="15">
      <c r="A3" s="466" t="s">
        <v>275</v>
      </c>
      <c r="B3" s="585" t="str">
        <f>'справка №1-БАЛАНС'!E4</f>
        <v>неконсолидиран</v>
      </c>
      <c r="C3" s="585"/>
      <c r="D3" s="585"/>
      <c r="E3" s="585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6" t="str">
        <f>'справка №1-БАЛАНС'!E5</f>
        <v>03.2011 г.</v>
      </c>
      <c r="C4" s="586"/>
      <c r="D4" s="58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32450</v>
      </c>
      <c r="D9" s="46">
        <v>28318</v>
      </c>
      <c r="E9" s="298" t="s">
        <v>285</v>
      </c>
      <c r="F9" s="547" t="s">
        <v>286</v>
      </c>
      <c r="G9" s="548">
        <v>41456</v>
      </c>
      <c r="H9" s="548">
        <v>38438</v>
      </c>
    </row>
    <row r="10" spans="1:8" ht="12">
      <c r="A10" s="298" t="s">
        <v>287</v>
      </c>
      <c r="B10" s="299" t="s">
        <v>288</v>
      </c>
      <c r="C10" s="46">
        <v>3317</v>
      </c>
      <c r="D10" s="46">
        <v>2367</v>
      </c>
      <c r="E10" s="298" t="s">
        <v>289</v>
      </c>
      <c r="F10" s="547" t="s">
        <v>290</v>
      </c>
      <c r="G10" s="548">
        <v>80</v>
      </c>
      <c r="H10" s="548">
        <v>45</v>
      </c>
    </row>
    <row r="11" spans="1:8" ht="12">
      <c r="A11" s="298" t="s">
        <v>291</v>
      </c>
      <c r="B11" s="299" t="s">
        <v>292</v>
      </c>
      <c r="C11" s="46">
        <v>998</v>
      </c>
      <c r="D11" s="46">
        <v>1224</v>
      </c>
      <c r="E11" s="300" t="s">
        <v>293</v>
      </c>
      <c r="F11" s="547" t="s">
        <v>294</v>
      </c>
      <c r="G11" s="548">
        <v>410</v>
      </c>
      <c r="H11" s="548">
        <v>235</v>
      </c>
    </row>
    <row r="12" spans="1:8" ht="12">
      <c r="A12" s="298" t="s">
        <v>295</v>
      </c>
      <c r="B12" s="299" t="s">
        <v>296</v>
      </c>
      <c r="C12" s="46">
        <v>1361</v>
      </c>
      <c r="D12" s="46">
        <v>1784</v>
      </c>
      <c r="E12" s="300" t="s">
        <v>78</v>
      </c>
      <c r="F12" s="547" t="s">
        <v>297</v>
      </c>
      <c r="G12" s="548">
        <v>12421</v>
      </c>
      <c r="H12" s="548">
        <v>6988</v>
      </c>
    </row>
    <row r="13" spans="1:18" ht="12">
      <c r="A13" s="298" t="s">
        <v>298</v>
      </c>
      <c r="B13" s="299" t="s">
        <v>299</v>
      </c>
      <c r="C13" s="46">
        <v>293</v>
      </c>
      <c r="D13" s="46">
        <v>356</v>
      </c>
      <c r="E13" s="301" t="s">
        <v>51</v>
      </c>
      <c r="F13" s="549" t="s">
        <v>300</v>
      </c>
      <c r="G13" s="546">
        <f>SUM(G9:G12)</f>
        <v>54367</v>
      </c>
      <c r="H13" s="546">
        <f>SUM(H9:H12)</f>
        <v>45706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10776</v>
      </c>
      <c r="D14" s="46">
        <v>5776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2644</v>
      </c>
      <c r="D15" s="47">
        <v>-859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309</v>
      </c>
      <c r="D16" s="47">
        <v>935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52148</v>
      </c>
      <c r="D19" s="49">
        <f>SUM(D9:D15)+D16</f>
        <v>39901</v>
      </c>
      <c r="E19" s="304" t="s">
        <v>317</v>
      </c>
      <c r="F19" s="550" t="s">
        <v>318</v>
      </c>
      <c r="G19" s="548">
        <v>159</v>
      </c>
      <c r="H19" s="548">
        <v>540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475</v>
      </c>
      <c r="D22" s="46">
        <v>385</v>
      </c>
      <c r="E22" s="304" t="s">
        <v>326</v>
      </c>
      <c r="F22" s="550" t="s">
        <v>327</v>
      </c>
      <c r="G22" s="548">
        <v>12</v>
      </c>
      <c r="H22" s="548">
        <v>10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59</v>
      </c>
      <c r="D24" s="46">
        <v>25</v>
      </c>
      <c r="E24" s="301" t="s">
        <v>103</v>
      </c>
      <c r="F24" s="552" t="s">
        <v>334</v>
      </c>
      <c r="G24" s="546">
        <f>SUM(G19:G23)</f>
        <v>171</v>
      </c>
      <c r="H24" s="546">
        <f>SUM(H19:H23)</f>
        <v>550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56</v>
      </c>
      <c r="D25" s="46">
        <v>186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590</v>
      </c>
      <c r="D26" s="49">
        <f>SUM(D22:D25)</f>
        <v>596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52738</v>
      </c>
      <c r="D28" s="50">
        <f>D26+D19</f>
        <v>40497</v>
      </c>
      <c r="E28" s="127" t="s">
        <v>339</v>
      </c>
      <c r="F28" s="552" t="s">
        <v>340</v>
      </c>
      <c r="G28" s="546">
        <f>G13+G15+G24</f>
        <v>54538</v>
      </c>
      <c r="H28" s="546">
        <f>H13+H15+H24</f>
        <v>46256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1800</v>
      </c>
      <c r="D30" s="50">
        <f>IF((H28-D28)&gt;0,H28-D28,0)</f>
        <v>5759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855</v>
      </c>
      <c r="B31" s="306" t="s">
        <v>345</v>
      </c>
      <c r="C31" s="46"/>
      <c r="D31" s="46"/>
      <c r="E31" s="296" t="s">
        <v>858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52738</v>
      </c>
      <c r="D33" s="49">
        <f>D28-D31+D32</f>
        <v>40497</v>
      </c>
      <c r="E33" s="127" t="s">
        <v>353</v>
      </c>
      <c r="F33" s="552" t="s">
        <v>354</v>
      </c>
      <c r="G33" s="53">
        <f>G32-G31+G28</f>
        <v>54538</v>
      </c>
      <c r="H33" s="53">
        <f>H32-H31+H28</f>
        <v>46256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1800</v>
      </c>
      <c r="D34" s="50">
        <f>IF((H33-D33)&gt;0,H33-D33,0)</f>
        <v>5759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1800</v>
      </c>
      <c r="D39" s="460">
        <f>+IF((H33-D33-D35)&gt;0,H33-D33-D35,0)</f>
        <v>5759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1800</v>
      </c>
      <c r="D41" s="52">
        <f>IF(H39=0,IF(D39-D40&gt;0,D39-D40+H40,0),IF(H39-H40&lt;0,H40-H39+D39,0))</f>
        <v>5759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54538</v>
      </c>
      <c r="D42" s="53">
        <f>D33+D35+D39</f>
        <v>46256</v>
      </c>
      <c r="E42" s="128" t="s">
        <v>380</v>
      </c>
      <c r="F42" s="129" t="s">
        <v>381</v>
      </c>
      <c r="G42" s="53">
        <f>G39+G33</f>
        <v>54538</v>
      </c>
      <c r="H42" s="53">
        <f>H39+H33</f>
        <v>46256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866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5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03.2011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44532</v>
      </c>
      <c r="D10" s="54">
        <v>42348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-43510</v>
      </c>
      <c r="D11" s="54">
        <v>-33899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-1678</v>
      </c>
      <c r="D13" s="54">
        <v>-2211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7582</v>
      </c>
      <c r="D14" s="54">
        <v>1953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-835</v>
      </c>
      <c r="D15" s="54">
        <v>-791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-44</v>
      </c>
      <c r="D18" s="54">
        <v>-10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-191</v>
      </c>
      <c r="D19" s="54">
        <v>-116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5856</v>
      </c>
      <c r="D20" s="55">
        <f>SUM(D10:D19)</f>
        <v>7274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-4646</v>
      </c>
      <c r="D22" s="54">
        <v>-1467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-2600</v>
      </c>
      <c r="D24" s="54">
        <v>-540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1032</v>
      </c>
      <c r="D25" s="54">
        <v>1060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>
        <v>-2149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-6214</v>
      </c>
      <c r="D32" s="55">
        <f>SUM(D22:D31)</f>
        <v>-3096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-415</v>
      </c>
      <c r="D35" s="54">
        <v>-854</v>
      </c>
      <c r="E35" s="130"/>
      <c r="F35" s="130"/>
    </row>
    <row r="36" spans="1:6" ht="12">
      <c r="A36" s="332" t="s">
        <v>437</v>
      </c>
      <c r="B36" s="333" t="s">
        <v>438</v>
      </c>
      <c r="C36" s="54">
        <v>4090</v>
      </c>
      <c r="D36" s="54">
        <v>5938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-850</v>
      </c>
      <c r="D37" s="54">
        <v>-6796</v>
      </c>
      <c r="E37" s="130"/>
      <c r="F37" s="130"/>
    </row>
    <row r="38" spans="1:6" ht="12">
      <c r="A38" s="332" t="s">
        <v>441</v>
      </c>
      <c r="B38" s="333" t="s">
        <v>442</v>
      </c>
      <c r="C38" s="54">
        <v>-88</v>
      </c>
      <c r="D38" s="54">
        <v>-79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-460</v>
      </c>
      <c r="D39" s="54">
        <v>-308</v>
      </c>
      <c r="E39" s="130"/>
      <c r="F39" s="130"/>
    </row>
    <row r="40" spans="1:6" ht="12">
      <c r="A40" s="332" t="s">
        <v>445</v>
      </c>
      <c r="B40" s="333" t="s">
        <v>446</v>
      </c>
      <c r="C40" s="54">
        <v>-30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-55</v>
      </c>
      <c r="D41" s="54">
        <v>-183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2192</v>
      </c>
      <c r="D42" s="55">
        <f>SUM(D34:D41)</f>
        <v>-2282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1834</v>
      </c>
      <c r="D43" s="55">
        <f>D42+D32+D20</f>
        <v>1896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781</v>
      </c>
      <c r="D44" s="132">
        <v>5463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2615</v>
      </c>
      <c r="D45" s="55">
        <f>D44+D43</f>
        <v>7359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2512</v>
      </c>
      <c r="D46" s="56">
        <f>+D45-D47</f>
        <v>7257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103</v>
      </c>
      <c r="D47" s="56">
        <v>102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15" zoomScaleNormal="115" zoomScalePageLayoutView="0" workbookViewId="0" topLeftCell="B8">
      <selection activeCell="L32" sqref="L32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03.2011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37326</v>
      </c>
      <c r="D11" s="58">
        <f>'справка №1-БАЛАНС'!H19</f>
        <v>19183</v>
      </c>
      <c r="E11" s="58">
        <f>'справка №1-БАЛАНС'!H20</f>
        <v>5969</v>
      </c>
      <c r="F11" s="58">
        <f>'справка №1-БАЛАНС'!H22</f>
        <v>53044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14606</v>
      </c>
      <c r="J11" s="58">
        <f>'справка №1-БАЛАНС'!H29+'справка №1-БАЛАНС'!H32</f>
        <v>0</v>
      </c>
      <c r="K11" s="60"/>
      <c r="L11" s="344">
        <f>SUM(C11:K11)</f>
        <v>130128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37326</v>
      </c>
      <c r="D15" s="61">
        <f aca="true" t="shared" si="2" ref="D15:M15">D11+D12</f>
        <v>19183</v>
      </c>
      <c r="E15" s="61">
        <f t="shared" si="2"/>
        <v>5969</v>
      </c>
      <c r="F15" s="61">
        <f t="shared" si="2"/>
        <v>53044</v>
      </c>
      <c r="G15" s="61">
        <f t="shared" si="2"/>
        <v>0</v>
      </c>
      <c r="H15" s="61">
        <f t="shared" si="2"/>
        <v>0</v>
      </c>
      <c r="I15" s="61">
        <f t="shared" si="2"/>
        <v>14606</v>
      </c>
      <c r="J15" s="61">
        <f t="shared" si="2"/>
        <v>0</v>
      </c>
      <c r="K15" s="61">
        <f t="shared" si="2"/>
        <v>0</v>
      </c>
      <c r="L15" s="344">
        <f t="shared" si="1"/>
        <v>130128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1800</v>
      </c>
      <c r="J16" s="345">
        <f>+'справка №1-БАЛАНС'!G32</f>
        <v>0</v>
      </c>
      <c r="K16" s="60"/>
      <c r="L16" s="344">
        <f t="shared" si="1"/>
        <v>1800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-63</v>
      </c>
      <c r="D28" s="60">
        <v>-353</v>
      </c>
      <c r="E28" s="60"/>
      <c r="F28" s="60"/>
      <c r="G28" s="60"/>
      <c r="H28" s="60"/>
      <c r="I28" s="60"/>
      <c r="J28" s="60"/>
      <c r="K28" s="60"/>
      <c r="L28" s="344">
        <f t="shared" si="1"/>
        <v>-416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37263</v>
      </c>
      <c r="D29" s="59">
        <f aca="true" t="shared" si="6" ref="D29:M29">D17+D20+D21+D24+D28+D27+D15+D16</f>
        <v>18830</v>
      </c>
      <c r="E29" s="59">
        <f t="shared" si="6"/>
        <v>5969</v>
      </c>
      <c r="F29" s="59">
        <f t="shared" si="6"/>
        <v>53044</v>
      </c>
      <c r="G29" s="59">
        <f t="shared" si="6"/>
        <v>0</v>
      </c>
      <c r="H29" s="59">
        <f t="shared" si="6"/>
        <v>0</v>
      </c>
      <c r="I29" s="59">
        <f t="shared" si="6"/>
        <v>16406</v>
      </c>
      <c r="J29" s="59">
        <f t="shared" si="6"/>
        <v>0</v>
      </c>
      <c r="K29" s="59">
        <f t="shared" si="6"/>
        <v>0</v>
      </c>
      <c r="L29" s="344">
        <f t="shared" si="1"/>
        <v>131512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37263</v>
      </c>
      <c r="D32" s="59">
        <f t="shared" si="7"/>
        <v>18830</v>
      </c>
      <c r="E32" s="59">
        <f t="shared" si="7"/>
        <v>5969</v>
      </c>
      <c r="F32" s="59">
        <f t="shared" si="7"/>
        <v>53044</v>
      </c>
      <c r="G32" s="59">
        <f t="shared" si="7"/>
        <v>0</v>
      </c>
      <c r="H32" s="59">
        <f t="shared" si="7"/>
        <v>0</v>
      </c>
      <c r="I32" s="59">
        <f t="shared" si="7"/>
        <v>16406</v>
      </c>
      <c r="J32" s="59">
        <f t="shared" si="7"/>
        <v>0</v>
      </c>
      <c r="K32" s="59">
        <f t="shared" si="7"/>
        <v>0</v>
      </c>
      <c r="L32" s="344">
        <f t="shared" si="1"/>
        <v>131512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862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5" zoomScaleNormal="115" zoomScalePageLayoutView="0" workbookViewId="0" topLeftCell="I1">
      <selection activeCell="R10" sqref="R1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"МОНБАТ"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№1-БАЛАНС'!E5</f>
        <v>03.2011 г.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6" t="s">
        <v>465</v>
      </c>
      <c r="B5" s="607"/>
      <c r="C5" s="610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3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3" t="s">
        <v>531</v>
      </c>
      <c r="R5" s="603" t="s">
        <v>532</v>
      </c>
    </row>
    <row r="6" spans="1:18" s="100" customFormat="1" ht="48">
      <c r="A6" s="608"/>
      <c r="B6" s="609"/>
      <c r="C6" s="611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4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4"/>
      <c r="R6" s="604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4038</v>
      </c>
      <c r="E9" s="189"/>
      <c r="F9" s="189"/>
      <c r="G9" s="74">
        <f>D9+E9-F9</f>
        <v>4038</v>
      </c>
      <c r="H9" s="65"/>
      <c r="I9" s="65"/>
      <c r="J9" s="74">
        <f>G9+H9-I9</f>
        <v>4038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4038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10415</v>
      </c>
      <c r="E10" s="189">
        <v>127</v>
      </c>
      <c r="F10" s="189"/>
      <c r="G10" s="74">
        <f aca="true" t="shared" si="2" ref="G10:G39">D10+E10-F10</f>
        <v>10542</v>
      </c>
      <c r="H10" s="65"/>
      <c r="I10" s="65"/>
      <c r="J10" s="74">
        <f aca="true" t="shared" si="3" ref="J10:J39">G10+H10-I10</f>
        <v>10542</v>
      </c>
      <c r="K10" s="65">
        <v>1454</v>
      </c>
      <c r="L10" s="65">
        <v>91</v>
      </c>
      <c r="M10" s="65"/>
      <c r="N10" s="74">
        <f aca="true" t="shared" si="4" ref="N10:N39">K10+L10-M10</f>
        <v>1545</v>
      </c>
      <c r="O10" s="65"/>
      <c r="P10" s="65"/>
      <c r="Q10" s="74">
        <f t="shared" si="0"/>
        <v>1545</v>
      </c>
      <c r="R10" s="74">
        <f t="shared" si="1"/>
        <v>8997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44366</v>
      </c>
      <c r="E11" s="189">
        <v>1191</v>
      </c>
      <c r="F11" s="189"/>
      <c r="G11" s="74">
        <f t="shared" si="2"/>
        <v>45557</v>
      </c>
      <c r="H11" s="65"/>
      <c r="I11" s="65"/>
      <c r="J11" s="74">
        <f t="shared" si="3"/>
        <v>45557</v>
      </c>
      <c r="K11" s="65">
        <v>28829</v>
      </c>
      <c r="L11" s="65">
        <v>736</v>
      </c>
      <c r="M11" s="65"/>
      <c r="N11" s="74">
        <f t="shared" si="4"/>
        <v>29565</v>
      </c>
      <c r="O11" s="65"/>
      <c r="P11" s="65"/>
      <c r="Q11" s="74">
        <f t="shared" si="0"/>
        <v>29565</v>
      </c>
      <c r="R11" s="74">
        <f t="shared" si="1"/>
        <v>15992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2216</v>
      </c>
      <c r="E12" s="189">
        <v>23</v>
      </c>
      <c r="F12" s="189"/>
      <c r="G12" s="74">
        <f t="shared" si="2"/>
        <v>2239</v>
      </c>
      <c r="H12" s="65"/>
      <c r="I12" s="65"/>
      <c r="J12" s="74">
        <f t="shared" si="3"/>
        <v>2239</v>
      </c>
      <c r="K12" s="65">
        <v>482</v>
      </c>
      <c r="L12" s="65">
        <v>20</v>
      </c>
      <c r="M12" s="65"/>
      <c r="N12" s="74">
        <f t="shared" si="4"/>
        <v>502</v>
      </c>
      <c r="O12" s="65"/>
      <c r="P12" s="65"/>
      <c r="Q12" s="74">
        <f t="shared" si="0"/>
        <v>502</v>
      </c>
      <c r="R12" s="74">
        <f t="shared" si="1"/>
        <v>1737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3098</v>
      </c>
      <c r="E13" s="189">
        <v>144</v>
      </c>
      <c r="F13" s="189">
        <v>72</v>
      </c>
      <c r="G13" s="74">
        <f t="shared" si="2"/>
        <v>3170</v>
      </c>
      <c r="H13" s="65"/>
      <c r="I13" s="65"/>
      <c r="J13" s="74">
        <f t="shared" si="3"/>
        <v>3170</v>
      </c>
      <c r="K13" s="65">
        <v>1869</v>
      </c>
      <c r="L13" s="65">
        <v>87</v>
      </c>
      <c r="M13" s="65">
        <v>59</v>
      </c>
      <c r="N13" s="74">
        <f t="shared" si="4"/>
        <v>1897</v>
      </c>
      <c r="O13" s="65"/>
      <c r="P13" s="65"/>
      <c r="Q13" s="74">
        <f t="shared" si="0"/>
        <v>1897</v>
      </c>
      <c r="R13" s="74">
        <f t="shared" si="1"/>
        <v>1273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2300</v>
      </c>
      <c r="E14" s="189">
        <v>7</v>
      </c>
      <c r="F14" s="189"/>
      <c r="G14" s="74">
        <f t="shared" si="2"/>
        <v>2307</v>
      </c>
      <c r="H14" s="65"/>
      <c r="I14" s="65"/>
      <c r="J14" s="74">
        <f t="shared" si="3"/>
        <v>2307</v>
      </c>
      <c r="K14" s="65">
        <v>1554</v>
      </c>
      <c r="L14" s="65">
        <v>59</v>
      </c>
      <c r="M14" s="65"/>
      <c r="N14" s="74">
        <f t="shared" si="4"/>
        <v>1613</v>
      </c>
      <c r="O14" s="65"/>
      <c r="P14" s="65"/>
      <c r="Q14" s="74">
        <f t="shared" si="0"/>
        <v>1613</v>
      </c>
      <c r="R14" s="74">
        <f t="shared" si="1"/>
        <v>694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863</v>
      </c>
      <c r="B15" s="374" t="s">
        <v>864</v>
      </c>
      <c r="C15" s="456" t="s">
        <v>865</v>
      </c>
      <c r="D15" s="457">
        <v>11609</v>
      </c>
      <c r="E15" s="457">
        <v>2203</v>
      </c>
      <c r="F15" s="457">
        <v>905</v>
      </c>
      <c r="G15" s="74">
        <f t="shared" si="2"/>
        <v>12907</v>
      </c>
      <c r="H15" s="458"/>
      <c r="I15" s="458"/>
      <c r="J15" s="74">
        <f t="shared" si="3"/>
        <v>12907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12907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78042</v>
      </c>
      <c r="E17" s="194">
        <f>SUM(E9:E16)</f>
        <v>3695</v>
      </c>
      <c r="F17" s="194">
        <f>SUM(F9:F16)</f>
        <v>977</v>
      </c>
      <c r="G17" s="74">
        <f t="shared" si="2"/>
        <v>80760</v>
      </c>
      <c r="H17" s="75">
        <f>SUM(H9:H16)</f>
        <v>0</v>
      </c>
      <c r="I17" s="75">
        <f>SUM(I9:I16)</f>
        <v>0</v>
      </c>
      <c r="J17" s="74">
        <f t="shared" si="3"/>
        <v>80760</v>
      </c>
      <c r="K17" s="75">
        <f>SUM(K9:K16)</f>
        <v>34188</v>
      </c>
      <c r="L17" s="75">
        <f>SUM(L9:L16)</f>
        <v>993</v>
      </c>
      <c r="M17" s="75">
        <f>SUM(M9:M16)</f>
        <v>59</v>
      </c>
      <c r="N17" s="74">
        <f t="shared" si="4"/>
        <v>35122</v>
      </c>
      <c r="O17" s="75">
        <f>SUM(O9:O16)</f>
        <v>0</v>
      </c>
      <c r="P17" s="75">
        <f>SUM(P9:P16)</f>
        <v>0</v>
      </c>
      <c r="Q17" s="74">
        <f t="shared" si="5"/>
        <v>35122</v>
      </c>
      <c r="R17" s="74">
        <f t="shared" si="6"/>
        <v>45638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383</v>
      </c>
      <c r="E21" s="189"/>
      <c r="F21" s="189"/>
      <c r="G21" s="74">
        <f t="shared" si="2"/>
        <v>383</v>
      </c>
      <c r="H21" s="65"/>
      <c r="I21" s="65"/>
      <c r="J21" s="74">
        <f t="shared" si="3"/>
        <v>383</v>
      </c>
      <c r="K21" s="65">
        <v>249</v>
      </c>
      <c r="L21" s="65">
        <v>5</v>
      </c>
      <c r="M21" s="65"/>
      <c r="N21" s="74">
        <f t="shared" si="4"/>
        <v>254</v>
      </c>
      <c r="O21" s="65"/>
      <c r="P21" s="65"/>
      <c r="Q21" s="74">
        <f t="shared" si="5"/>
        <v>254</v>
      </c>
      <c r="R21" s="74">
        <f t="shared" si="6"/>
        <v>129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141</v>
      </c>
      <c r="E22" s="189"/>
      <c r="F22" s="189"/>
      <c r="G22" s="74">
        <f t="shared" si="2"/>
        <v>141</v>
      </c>
      <c r="H22" s="65"/>
      <c r="I22" s="65"/>
      <c r="J22" s="74">
        <f t="shared" si="3"/>
        <v>141</v>
      </c>
      <c r="K22" s="65">
        <v>132</v>
      </c>
      <c r="L22" s="65"/>
      <c r="M22" s="65"/>
      <c r="N22" s="74">
        <f t="shared" si="4"/>
        <v>132</v>
      </c>
      <c r="O22" s="65"/>
      <c r="P22" s="65"/>
      <c r="Q22" s="74">
        <f t="shared" si="5"/>
        <v>132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526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526</v>
      </c>
      <c r="H25" s="66">
        <f t="shared" si="7"/>
        <v>0</v>
      </c>
      <c r="I25" s="66">
        <f t="shared" si="7"/>
        <v>0</v>
      </c>
      <c r="J25" s="67">
        <f t="shared" si="3"/>
        <v>526</v>
      </c>
      <c r="K25" s="66">
        <f t="shared" si="7"/>
        <v>383</v>
      </c>
      <c r="L25" s="66">
        <f t="shared" si="7"/>
        <v>5</v>
      </c>
      <c r="M25" s="66">
        <f t="shared" si="7"/>
        <v>0</v>
      </c>
      <c r="N25" s="67">
        <f t="shared" si="4"/>
        <v>388</v>
      </c>
      <c r="O25" s="66">
        <f t="shared" si="7"/>
        <v>0</v>
      </c>
      <c r="P25" s="66">
        <f t="shared" si="7"/>
        <v>0</v>
      </c>
      <c r="Q25" s="67">
        <f t="shared" si="5"/>
        <v>388</v>
      </c>
      <c r="R25" s="67">
        <f t="shared" si="6"/>
        <v>138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856</v>
      </c>
      <c r="C27" s="380" t="s">
        <v>587</v>
      </c>
      <c r="D27" s="192">
        <f>SUM(D28:D31)</f>
        <v>44543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44543</v>
      </c>
      <c r="H27" s="70">
        <f t="shared" si="8"/>
        <v>0</v>
      </c>
      <c r="I27" s="70">
        <f t="shared" si="8"/>
        <v>0</v>
      </c>
      <c r="J27" s="71">
        <f t="shared" si="3"/>
        <v>44543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44543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44543</v>
      </c>
      <c r="E28" s="189"/>
      <c r="F28" s="189"/>
      <c r="G28" s="74">
        <f t="shared" si="2"/>
        <v>44543</v>
      </c>
      <c r="H28" s="65"/>
      <c r="I28" s="65"/>
      <c r="J28" s="74">
        <f t="shared" si="3"/>
        <v>44543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44543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603</v>
      </c>
      <c r="D38" s="194">
        <f>D27+D32+D37</f>
        <v>44543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44543</v>
      </c>
      <c r="H38" s="75">
        <f t="shared" si="12"/>
        <v>0</v>
      </c>
      <c r="I38" s="75">
        <f t="shared" si="12"/>
        <v>0</v>
      </c>
      <c r="J38" s="74">
        <f t="shared" si="3"/>
        <v>44543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44543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123111</v>
      </c>
      <c r="E40" s="438">
        <f>E17+E18+E19+E25+E38+E39</f>
        <v>3695</v>
      </c>
      <c r="F40" s="438">
        <f aca="true" t="shared" si="13" ref="F40:R40">F17+F18+F19+F25+F38+F39</f>
        <v>977</v>
      </c>
      <c r="G40" s="438">
        <f t="shared" si="13"/>
        <v>125829</v>
      </c>
      <c r="H40" s="438">
        <f t="shared" si="13"/>
        <v>0</v>
      </c>
      <c r="I40" s="438">
        <f t="shared" si="13"/>
        <v>0</v>
      </c>
      <c r="J40" s="438">
        <f t="shared" si="13"/>
        <v>125829</v>
      </c>
      <c r="K40" s="438">
        <f t="shared" si="13"/>
        <v>34571</v>
      </c>
      <c r="L40" s="438">
        <f t="shared" si="13"/>
        <v>998</v>
      </c>
      <c r="M40" s="438">
        <f t="shared" si="13"/>
        <v>59</v>
      </c>
      <c r="N40" s="438">
        <f t="shared" si="13"/>
        <v>35510</v>
      </c>
      <c r="O40" s="438">
        <f t="shared" si="13"/>
        <v>0</v>
      </c>
      <c r="P40" s="438">
        <f t="shared" si="13"/>
        <v>0</v>
      </c>
      <c r="Q40" s="438">
        <f t="shared" si="13"/>
        <v>35510</v>
      </c>
      <c r="R40" s="438">
        <f t="shared" si="13"/>
        <v>90319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2"/>
      <c r="L44" s="612"/>
      <c r="M44" s="612"/>
      <c r="N44" s="612"/>
      <c r="O44" s="601" t="s">
        <v>785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15" zoomScaleNormal="115" zoomScalePageLayoutView="0" workbookViewId="0" topLeftCell="A42">
      <selection activeCell="C55" sqref="C5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03.2011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22112</v>
      </c>
      <c r="D11" s="119">
        <f>SUM(D12:D14)</f>
        <v>0</v>
      </c>
      <c r="E11" s="120">
        <f>SUM(E12:E14)</f>
        <v>22112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f>8776</f>
        <v>8776</v>
      </c>
      <c r="D12" s="108"/>
      <c r="E12" s="120">
        <f aca="true" t="shared" si="0" ref="E12:E42">C12-D12</f>
        <v>8776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13336</v>
      </c>
      <c r="D14" s="108"/>
      <c r="E14" s="120">
        <f t="shared" si="0"/>
        <v>13336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22112</v>
      </c>
      <c r="D19" s="104">
        <f>D11+D15+D16</f>
        <v>0</v>
      </c>
      <c r="E19" s="118">
        <f>E11+E15+E16</f>
        <v>22112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29780</v>
      </c>
      <c r="D24" s="119">
        <f>SUM(D25:D27)</f>
        <v>29780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5606</v>
      </c>
      <c r="D25" s="108">
        <v>5606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22957</v>
      </c>
      <c r="D26" s="108">
        <v>22957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f>1217</f>
        <v>1217</v>
      </c>
      <c r="D27" s="108">
        <f>1217</f>
        <v>1217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18061</v>
      </c>
      <c r="D28" s="108">
        <v>18061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248</v>
      </c>
      <c r="D29" s="108">
        <v>248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744</v>
      </c>
      <c r="D30" s="108">
        <v>744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3892</v>
      </c>
      <c r="D33" s="105">
        <f>SUM(D34:D37)</f>
        <v>3892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297</v>
      </c>
      <c r="D34" s="108">
        <v>297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f>3425</f>
        <v>3425</v>
      </c>
      <c r="D35" s="108">
        <f>3425</f>
        <v>3425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170</v>
      </c>
      <c r="D37" s="108">
        <v>170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333</v>
      </c>
      <c r="D38" s="105">
        <f>SUM(D39:D42)</f>
        <v>333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333</v>
      </c>
      <c r="D42" s="108">
        <v>333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53058</v>
      </c>
      <c r="D43" s="104">
        <f>D24+D28+D29+D31+D30+D32+D33+D38</f>
        <v>53058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75170</v>
      </c>
      <c r="D44" s="103">
        <f>D43+D21+D19+D9</f>
        <v>53058</v>
      </c>
      <c r="E44" s="118">
        <f>E43+E21+E19+E9</f>
        <v>22112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17939</v>
      </c>
      <c r="D56" s="103">
        <f>D57+D59</f>
        <v>0</v>
      </c>
      <c r="E56" s="119">
        <f t="shared" si="1"/>
        <v>17939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17939</v>
      </c>
      <c r="D57" s="108"/>
      <c r="E57" s="119">
        <f t="shared" si="1"/>
        <v>17939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1179</v>
      </c>
      <c r="D64" s="108"/>
      <c r="E64" s="119">
        <f t="shared" si="1"/>
        <v>1179</v>
      </c>
      <c r="F64" s="110"/>
    </row>
    <row r="65" spans="1:6" ht="12">
      <c r="A65" s="396" t="s">
        <v>712</v>
      </c>
      <c r="B65" s="397" t="s">
        <v>713</v>
      </c>
      <c r="C65" s="108">
        <v>1179</v>
      </c>
      <c r="D65" s="109"/>
      <c r="E65" s="119">
        <f t="shared" si="1"/>
        <v>1179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19118</v>
      </c>
      <c r="D66" s="103">
        <f>D52+D56+D61+D62+D63+D64</f>
        <v>0</v>
      </c>
      <c r="E66" s="119">
        <f t="shared" si="1"/>
        <v>19118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2470</v>
      </c>
      <c r="D68" s="108"/>
      <c r="E68" s="119">
        <f t="shared" si="1"/>
        <v>2470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9079</v>
      </c>
      <c r="D71" s="105">
        <f>SUM(D72:D74)</f>
        <v>9079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9079</v>
      </c>
      <c r="D72" s="108">
        <v>9079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25226</v>
      </c>
      <c r="D75" s="103">
        <f>D76+D78</f>
        <v>25226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25226</v>
      </c>
      <c r="D76" s="108">
        <v>25226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5657</v>
      </c>
      <c r="D85" s="104">
        <f>SUM(D86:D90)+D94</f>
        <v>5657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343</v>
      </c>
      <c r="D86" s="108">
        <v>343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4740</v>
      </c>
      <c r="D87" s="108">
        <v>4740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157</v>
      </c>
      <c r="D89" s="108">
        <v>157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84</v>
      </c>
      <c r="D90" s="103">
        <f>SUM(D91:D93)</f>
        <v>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84</v>
      </c>
      <c r="D93" s="108">
        <v>84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305</v>
      </c>
      <c r="D94" s="108">
        <v>305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1085</v>
      </c>
      <c r="D95" s="108">
        <v>1085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41047</v>
      </c>
      <c r="D96" s="104">
        <f>D85+D80+D75+D71+D95</f>
        <v>41047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62635</v>
      </c>
      <c r="D97" s="104">
        <f>D96+D68+D66</f>
        <v>41047</v>
      </c>
      <c r="E97" s="104">
        <f>E96+E68+E66</f>
        <v>21588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122</v>
      </c>
      <c r="D104" s="108"/>
      <c r="E104" s="108"/>
      <c r="F104" s="125">
        <f>C104+D104-E104</f>
        <v>122</v>
      </c>
    </row>
    <row r="105" spans="1:16" ht="12">
      <c r="A105" s="412" t="s">
        <v>780</v>
      </c>
      <c r="B105" s="395" t="s">
        <v>781</v>
      </c>
      <c r="C105" s="103">
        <f>SUM(C102:C104)</f>
        <v>122</v>
      </c>
      <c r="D105" s="103">
        <f>SUM(D102:D104)</f>
        <v>0</v>
      </c>
      <c r="E105" s="103">
        <f>SUM(E102:E104)</f>
        <v>0</v>
      </c>
      <c r="F105" s="103">
        <f>SUM(F102:F104)</f>
        <v>122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03.2011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>
        <v>44543</v>
      </c>
      <c r="G12" s="98"/>
      <c r="H12" s="98"/>
      <c r="I12" s="434">
        <f>F12+G12-H12</f>
        <v>44543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44543</v>
      </c>
      <c r="G17" s="85">
        <f t="shared" si="1"/>
        <v>0</v>
      </c>
      <c r="H17" s="85">
        <f t="shared" si="1"/>
        <v>0</v>
      </c>
      <c r="I17" s="434">
        <f t="shared" si="0"/>
        <v>44543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1737145</v>
      </c>
      <c r="D20" s="98"/>
      <c r="E20" s="98"/>
      <c r="F20" s="98">
        <v>1737</v>
      </c>
      <c r="G20" s="98"/>
      <c r="H20" s="98"/>
      <c r="I20" s="434">
        <f t="shared" si="0"/>
        <v>1737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1737145</v>
      </c>
      <c r="D26" s="85">
        <f t="shared" si="2"/>
        <v>0</v>
      </c>
      <c r="E26" s="85">
        <f t="shared" si="2"/>
        <v>0</v>
      </c>
      <c r="F26" s="85">
        <f t="shared" si="2"/>
        <v>1737</v>
      </c>
      <c r="G26" s="85">
        <f t="shared" si="2"/>
        <v>0</v>
      </c>
      <c r="H26" s="85">
        <f t="shared" si="2"/>
        <v>0</v>
      </c>
      <c r="I26" s="434">
        <f t="shared" si="0"/>
        <v>1737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58">
      <selection activeCell="C95" activeCellId="1" sqref="C79 C95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03.2011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871</v>
      </c>
      <c r="B13" s="37"/>
      <c r="C13" s="441">
        <v>35182</v>
      </c>
      <c r="D13" s="441">
        <v>100</v>
      </c>
      <c r="E13" s="441"/>
      <c r="F13" s="443">
        <f aca="true" t="shared" si="0" ref="F13:F26">C13-E13</f>
        <v>35182</v>
      </c>
    </row>
    <row r="14" spans="1:6" ht="12.75">
      <c r="A14" s="36" t="s">
        <v>874</v>
      </c>
      <c r="B14" s="37"/>
      <c r="C14" s="441">
        <v>4672</v>
      </c>
      <c r="D14" s="441">
        <v>51</v>
      </c>
      <c r="E14" s="441"/>
      <c r="F14" s="443">
        <f t="shared" si="0"/>
        <v>4672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44337</v>
      </c>
      <c r="D27" s="429"/>
      <c r="E27" s="429">
        <f>SUM(E12:E26)</f>
        <v>0</v>
      </c>
      <c r="F27" s="442">
        <f>SUM(F12:F26)</f>
        <v>44337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44337</v>
      </c>
      <c r="D79" s="429"/>
      <c r="E79" s="429">
        <f>E78+E61+E44+E27</f>
        <v>0</v>
      </c>
      <c r="F79" s="442">
        <f>F78+F61+F44+F27</f>
        <v>44337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872</v>
      </c>
      <c r="B82" s="40"/>
      <c r="C82" s="441">
        <v>12</v>
      </c>
      <c r="D82" s="441">
        <v>52</v>
      </c>
      <c r="E82" s="441"/>
      <c r="F82" s="443">
        <f aca="true" t="shared" si="4" ref="F82:F94">C82-E82</f>
        <v>12</v>
      </c>
    </row>
    <row r="83" spans="1:6" ht="12.75">
      <c r="A83" s="36" t="s">
        <v>873</v>
      </c>
      <c r="B83" s="40"/>
      <c r="C83" s="441">
        <v>194</v>
      </c>
      <c r="D83" s="441">
        <v>99</v>
      </c>
      <c r="E83" s="441"/>
      <c r="F83" s="443">
        <f t="shared" si="4"/>
        <v>194</v>
      </c>
    </row>
    <row r="84" spans="1:6" ht="12.75">
      <c r="A84" s="36">
        <v>5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6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7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8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9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10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11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566</v>
      </c>
      <c r="B95" s="39" t="s">
        <v>845</v>
      </c>
      <c r="C95" s="429">
        <f>SUM(C82:C94)</f>
        <v>206</v>
      </c>
      <c r="D95" s="429"/>
      <c r="E95" s="429">
        <f>SUM(E82:E94)</f>
        <v>0</v>
      </c>
      <c r="F95" s="442">
        <f>SUM(F82:F94)</f>
        <v>206</v>
      </c>
      <c r="G95" s="514"/>
      <c r="H95" s="514"/>
      <c r="I95" s="514"/>
      <c r="J95" s="514"/>
      <c r="K95" s="514"/>
      <c r="L95" s="514"/>
      <c r="M95" s="514"/>
      <c r="N95" s="514"/>
      <c r="O95" s="514"/>
      <c r="P95" s="514"/>
    </row>
    <row r="96" spans="1:6" ht="15.75" customHeight="1">
      <c r="A96" s="36" t="s">
        <v>835</v>
      </c>
      <c r="B96" s="40"/>
      <c r="C96" s="429"/>
      <c r="D96" s="429"/>
      <c r="E96" s="429"/>
      <c r="F96" s="442"/>
    </row>
    <row r="97" spans="1:6" ht="12.75">
      <c r="A97" s="36" t="s">
        <v>545</v>
      </c>
      <c r="B97" s="40"/>
      <c r="C97" s="441"/>
      <c r="D97" s="441"/>
      <c r="E97" s="441"/>
      <c r="F97" s="443">
        <f>C97-E97</f>
        <v>0</v>
      </c>
    </row>
    <row r="98" spans="1:6" ht="12.75">
      <c r="A98" s="36" t="s">
        <v>548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>
      <c r="A99" s="36" t="s">
        <v>551</v>
      </c>
      <c r="B99" s="40"/>
      <c r="C99" s="441"/>
      <c r="D99" s="441"/>
      <c r="E99" s="441"/>
      <c r="F99" s="443">
        <f t="shared" si="5"/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583</v>
      </c>
      <c r="B112" s="39" t="s">
        <v>846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</row>
    <row r="113" spans="1:6" ht="15" customHeight="1">
      <c r="A113" s="36" t="s">
        <v>837</v>
      </c>
      <c r="B113" s="40"/>
      <c r="C113" s="429"/>
      <c r="D113" s="429"/>
      <c r="E113" s="429"/>
      <c r="F113" s="442"/>
    </row>
    <row r="114" spans="1:6" ht="12.75">
      <c r="A114" s="36" t="s">
        <v>545</v>
      </c>
      <c r="B114" s="40"/>
      <c r="C114" s="441"/>
      <c r="D114" s="441"/>
      <c r="E114" s="441"/>
      <c r="F114" s="443">
        <f>C114-E114</f>
        <v>0</v>
      </c>
    </row>
    <row r="115" spans="1:6" ht="12.75">
      <c r="A115" s="36" t="s">
        <v>548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>
      <c r="A116" s="36" t="s">
        <v>551</v>
      </c>
      <c r="B116" s="40"/>
      <c r="C116" s="441"/>
      <c r="D116" s="441"/>
      <c r="E116" s="441"/>
      <c r="F116" s="443">
        <f t="shared" si="6"/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602</v>
      </c>
      <c r="B129" s="39" t="s">
        <v>847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</row>
    <row r="130" spans="1:6" ht="12.75" customHeight="1">
      <c r="A130" s="36" t="s">
        <v>839</v>
      </c>
      <c r="B130" s="40"/>
      <c r="C130" s="429"/>
      <c r="D130" s="429"/>
      <c r="E130" s="429"/>
      <c r="F130" s="442"/>
    </row>
    <row r="131" spans="1:6" ht="12.75">
      <c r="A131" s="36" t="s">
        <v>545</v>
      </c>
      <c r="B131" s="40"/>
      <c r="C131" s="441"/>
      <c r="D131" s="441"/>
      <c r="E131" s="441"/>
      <c r="F131" s="443">
        <f>C131-E131</f>
        <v>0</v>
      </c>
    </row>
    <row r="132" spans="1:6" ht="12.75">
      <c r="A132" s="36" t="s">
        <v>548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>
      <c r="A133" s="36" t="s">
        <v>551</v>
      </c>
      <c r="B133" s="40"/>
      <c r="C133" s="441"/>
      <c r="D133" s="441"/>
      <c r="E133" s="441"/>
      <c r="F133" s="443">
        <f t="shared" si="7"/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840</v>
      </c>
      <c r="B146" s="39" t="s">
        <v>848</v>
      </c>
      <c r="C146" s="429">
        <f>SUM(C131:C145)</f>
        <v>0</v>
      </c>
      <c r="D146" s="429"/>
      <c r="E146" s="429">
        <f>SUM(E131:E145)</f>
        <v>0</v>
      </c>
      <c r="F146" s="442">
        <f>SUM(F131:F145)</f>
        <v>0</v>
      </c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</row>
    <row r="147" spans="1:16" ht="19.5" customHeight="1">
      <c r="A147" s="41" t="s">
        <v>849</v>
      </c>
      <c r="B147" s="39" t="s">
        <v>850</v>
      </c>
      <c r="C147" s="429">
        <f>C146+C129+C112+C95</f>
        <v>206</v>
      </c>
      <c r="D147" s="429"/>
      <c r="E147" s="429">
        <f>E146+E129+E112+E95</f>
        <v>0</v>
      </c>
      <c r="F147" s="442">
        <f>F146+F129+F112+F95</f>
        <v>206</v>
      </c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851</v>
      </c>
      <c r="B149" s="453"/>
      <c r="C149" s="630" t="s">
        <v>852</v>
      </c>
      <c r="D149" s="630"/>
      <c r="E149" s="630"/>
      <c r="F149" s="630"/>
    </row>
    <row r="150" spans="1:6" ht="12.75">
      <c r="A150" s="515"/>
      <c r="B150" s="516"/>
      <c r="C150" s="515"/>
      <c r="D150" s="515"/>
      <c r="E150" s="515"/>
      <c r="F150" s="515"/>
    </row>
    <row r="151" spans="1:6" ht="12.75">
      <c r="A151" s="515"/>
      <c r="B151" s="516"/>
      <c r="C151" s="630" t="s">
        <v>860</v>
      </c>
      <c r="D151" s="630"/>
      <c r="E151" s="630"/>
      <c r="F151" s="630"/>
    </row>
    <row r="152" spans="3:5" ht="12.75">
      <c r="C152" s="515"/>
      <c r="E152" s="515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97:F111 C114:F128 C131:F145 C82:F9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2011-04-26T11:04:49Z</cp:lastPrinted>
  <dcterms:created xsi:type="dcterms:W3CDTF">2000-06-29T12:02:40Z</dcterms:created>
  <dcterms:modified xsi:type="dcterms:W3CDTF">2011-05-02T13:15:20Z</dcterms:modified>
  <cp:category/>
  <cp:version/>
  <cp:contentType/>
  <cp:contentStatus/>
</cp:coreProperties>
</file>