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<sst xmlns="http://schemas.openxmlformats.org/spreadsheetml/2006/main" count="4299" uniqueCount="1005">
  <si>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</si>
  <si>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</si>
  <si>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</si>
  <si>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</si>
  <si>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</si>
  <si>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</si>
  <si>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</si>
  <si>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</si>
  <si>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</si>
  <si>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</si>
  <si>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</si>
  <si>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</si>
  <si>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</si>
  <si>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</si>
  <si>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</si>
  <si>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</si>
  <si>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</si>
  <si>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</si>
  <si>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</si>
  <si>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</si>
  <si>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</si>
  <si>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</si>
  <si>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</si>
  <si>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</si>
  <si>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</si>
  <si>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</si>
  <si>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</si>
  <si>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</si>
  <si>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</si>
  <si>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</si>
  <si>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</si>
  <si>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</si>
  <si>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</si>
  <si>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</si>
  <si>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</si>
  <si>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</si>
  <si>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</si>
  <si>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</si>
  <si>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</si>
  <si>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</si>
  <si>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</si>
  <si>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</si>
  <si>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</si>
  <si>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</si>
  <si>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</si>
  <si>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</si>
  <si>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</si>
  <si>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</si>
  <si>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</si>
  <si>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</si>
  <si>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</si>
  <si>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</si>
  <si>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</si>
  <si>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</si>
  <si>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</si>
  <si>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</si>
  <si>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</si>
  <si>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</si>
  <si>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</si>
  <si>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</si>
  <si>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</si>
  <si>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</si>
  <si>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</si>
  <si>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</si>
  <si>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</si>
  <si>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</si>
  <si>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</si>
  <si>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</si>
  <si>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</si>
  <si>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</si>
  <si>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</si>
  <si>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</si>
  <si>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</si>
  <si>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</si>
  <si>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</si>
  <si>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</si>
  <si>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</si>
  <si>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</si>
  <si>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</si>
  <si>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</si>
  <si>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</si>
  <si>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</si>
  <si>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</si>
  <si>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</si>
  <si>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</si>
  <si>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</si>
  <si>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</si>
  <si>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</si>
  <si>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</si>
  <si>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</si>
  <si>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</si>
  <si>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</si>
  <si>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</si>
  <si>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</si>
  <si>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</si>
  <si>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</si>
  <si>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</si>
  <si>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</si>
  <si>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</si>
  <si>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</si>
  <si>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</si>
  <si>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</si>
  <si>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</si>
  <si>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</si>
  <si>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</si>
  <si>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</si>
  <si>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</si>
  <si>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</si>
  <si>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</si>
  <si>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</si>
  <si>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</si>
  <si>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</si>
  <si>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</si>
  <si>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</si>
  <si>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</si>
  <si>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</si>
  <si>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</si>
  <si>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</si>
  <si>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</si>
  <si>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</si>
  <si>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</si>
  <si>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</si>
  <si>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</si>
  <si>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</si>
  <si>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</si>
  <si>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</si>
  <si>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</si>
  <si>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</si>
  <si>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</si>
  <si>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</si>
  <si>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</si>
  <si>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</si>
  <si>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</si>
  <si>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</si>
  <si>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</si>
  <si>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</si>
  <si>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</si>
  <si>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</si>
  <si>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</si>
  <si>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</si>
  <si>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</si>
  <si>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</si>
  <si>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</si>
  <si>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</si>
  <si>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</si>
  <si>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</si>
  <si>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</si>
  <si>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</si>
  <si>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</si>
  <si>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</si>
  <si>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</si>
  <si>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</si>
  <si>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</si>
  <si>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</si>
  <si>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</si>
  <si>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</si>
  <si>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</si>
  <si>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</si>
  <si>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</si>
  <si>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</si>
  <si>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</si>
  <si>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</si>
  <si>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</si>
  <si>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</si>
  <si>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</si>
  <si>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</si>
  <si>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</si>
  <si>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</si>
  <si>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</si>
  <si>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</si>
  <si>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</si>
  <si>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</si>
  <si>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</si>
  <si>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</si>
  <si>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</si>
  <si>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</si>
  <si>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</si>
  <si>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</si>
  <si>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</si>
  <si>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</si>
  <si>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</si>
  <si>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</si>
  <si>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</si>
  <si>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</si>
  <si>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</si>
  <si>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</si>
  <si>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</si>
  <si>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</si>
  <si>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</si>
  <si>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</si>
  <si>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</si>
  <si>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</si>
  <si>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</si>
  <si>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</si>
  <si>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</si>
  <si>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</si>
  <si>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</si>
  <si>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</si>
  <si>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</si>
  <si>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</si>
  <si>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</si>
  <si>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</si>
  <si>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</si>
  <si>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</si>
  <si>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</si>
  <si>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</si>
  <si>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</si>
  <si>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</si>
  <si>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</si>
  <si>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</si>
  <si>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</si>
  <si>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</si>
  <si>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</si>
  <si>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</si>
  <si>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</si>
  <si>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</si>
  <si>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</si>
  <si>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</si>
  <si>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</si>
  <si>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</si>
  <si>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</si>
  <si>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</si>
  <si>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</si>
  <si>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</si>
  <si>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</si>
  <si>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</si>
  <si>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</si>
  <si>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</si>
  <si>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</si>
  <si>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</si>
  <si>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</si>
  <si>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</si>
  <si>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</si>
  <si>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</si>
  <si>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</si>
  <si>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</si>
  <si>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</si>
  <si>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</si>
  <si>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</si>
  <si>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</si>
  <si>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</si>
  <si>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</si>
  <si>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</si>
  <si>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</si>
  <si>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</si>
  <si>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</si>
  <si>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</si>
  <si>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</si>
  <si>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</si>
  <si>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</si>
  <si>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</si>
  <si>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</si>
  <si>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</si>
  <si>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</si>
  <si>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</si>
  <si>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</si>
  <si>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</si>
  <si>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</si>
  <si>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</si>
  <si>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</si>
  <si>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</si>
  <si>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</si>
  <si>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</si>
  <si>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</si>
  <si>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</si>
  <si>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</si>
  <si>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</si>
  <si>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</si>
  <si>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</si>
  <si>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</si>
  <si>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</si>
  <si>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</si>
  <si>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</si>
  <si>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</si>
  <si>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</si>
  <si>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</si>
  <si>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</si>
  <si>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</si>
  <si>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</si>
  <si>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</si>
  <si>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</si>
  <si>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</si>
  <si>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</si>
  <si>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</si>
  <si>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</si>
  <si>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</si>
  <si>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</si>
  <si>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</si>
  <si>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</si>
  <si>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</si>
  <si>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</si>
  <si>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</si>
  <si>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</si>
  <si>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</si>
  <si>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</si>
  <si>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</si>
  <si>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</si>
  <si>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</si>
  <si>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</si>
  <si>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</si>
  <si>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</si>
  <si>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</si>
  <si>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</si>
  <si>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</si>
  <si>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</si>
  <si>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</si>
  <si>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</si>
  <si>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</si>
  <si>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</si>
  <si>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</si>
  <si>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</si>
  <si>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</si>
  <si>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</si>
  <si>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</si>
  <si>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</si>
  <si>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</si>
  <si>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</si>
  <si>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</si>
  <si>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</si>
  <si>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</si>
  <si>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</si>
  <si>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</si>
  <si>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</si>
  <si>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</si>
  <si>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</si>
  <si>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</si>
  <si>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</si>
  <si>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</si>
  <si>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</si>
  <si>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</si>
  <si>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</si>
  <si>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</si>
  <si>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</si>
  <si>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</si>
  <si>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</si>
  <si>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</si>
  <si>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</si>
  <si>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</si>
  <si>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</si>
  <si>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</si>
  <si>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</si>
  <si>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</si>
  <si>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</si>
  <si>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</si>
  <si>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</si>
  <si>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</si>
  <si>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</si>
  <si>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</si>
  <si>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</si>
  <si>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</si>
  <si>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</si>
  <si>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</si>
  <si>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</si>
  <si>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</si>
  <si>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</si>
  <si>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</si>
  <si>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</si>
  <si>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</si>
  <si>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</si>
  <si>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</si>
  <si>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</si>
  <si>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</si>
  <si>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</si>
  <si>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</si>
  <si>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</si>
  <si>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</si>
  <si>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</si>
  <si>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</si>
  <si>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</si>
  <si>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</si>
  <si>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</si>
  <si>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</si>
  <si>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</si>
  <si>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</si>
  <si>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</si>
  <si>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</si>
  <si>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</si>
  <si>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</si>
  <si>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</si>
  <si>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</si>
  <si>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</si>
  <si>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</si>
  <si>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</si>
  <si>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</si>
  <si>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</si>
  <si>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</si>
  <si>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</si>
  <si>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</si>
  <si>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</si>
  <si>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</si>
  <si>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</si>
  <si>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</si>
  <si>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</si>
  <si>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</si>
  <si>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</si>
  <si>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</si>
  <si>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</si>
  <si>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</si>
  <si>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</si>
  <si>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</si>
  <si>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</si>
  <si>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</si>
  <si>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</si>
  <si>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</si>
  <si>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</si>
  <si>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</si>
  <si>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</si>
  <si>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</si>
  <si>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</si>
  <si>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</si>
  <si>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</si>
  <si>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</si>
  <si>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</si>
  <si>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</si>
  <si>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</si>
  <si>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</si>
  <si>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</si>
  <si>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</si>
  <si>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</si>
  <si>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</si>
  <si>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</si>
  <si>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</si>
  <si>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</si>
  <si>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</si>
  <si>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</si>
  <si>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</si>
  <si>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</si>
  <si>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</si>
  <si>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</si>
  <si>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</si>
  <si>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</si>
  <si>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</si>
  <si>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</si>
  <si>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</si>
  <si>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</si>
  <si>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</si>
  <si>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</si>
  <si>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</si>
  <si>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</si>
  <si>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</si>
  <si>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</si>
  <si>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</si>
  <si>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</si>
  <si>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</si>
  <si>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</si>
  <si>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</si>
  <si>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</si>
  <si>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</si>
  <si>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</si>
  <si>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</si>
  <si>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</si>
  <si>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</si>
  <si>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</si>
  <si>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</si>
  <si>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</si>
  <si>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</si>
  <si>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</si>
  <si>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</si>
  <si>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</si>
  <si>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</si>
  <si>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</si>
  <si>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</si>
  <si>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</si>
  <si>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</si>
  <si>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</si>
  <si>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</si>
  <si>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</si>
  <si>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</si>
  <si>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</si>
  <si>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</si>
  <si>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</si>
  <si>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</si>
  <si>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</si>
  <si>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</si>
  <si>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</si>
  <si>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</si>
  <si>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</si>
  <si>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</si>
  <si>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</si>
  <si>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</si>
  <si>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</si>
  <si>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</si>
  <si>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</si>
  <si>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</si>
  <si>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</si>
  <si>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</si>
  <si>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</si>
  <si>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</si>
  <si>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</si>
  <si>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</si>
  <si>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</si>
  <si>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</si>
  <si>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</si>
  <si>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</si>
  <si>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</si>
  <si>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</si>
  <si>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</si>
  <si>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</si>
  <si>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</si>
  <si>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</si>
  <si>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</si>
  <si>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</si>
  <si>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</si>
  <si>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</si>
  <si>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</si>
  <si>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</si>
  <si>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</si>
  <si>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</si>
  <si>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</si>
  <si>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</si>
  <si>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</si>
  <si>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</si>
  <si>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</si>
  <si>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</si>
  <si>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</si>
  <si>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</si>
  <si>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</si>
  <si>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</si>
  <si>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</si>
  <si>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</si>
  <si>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</si>
  <si>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</si>
  <si>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</si>
  <si>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</si>
  <si>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</si>
  <si>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</si>
  <si>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</si>
  <si>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</si>
  <si>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</si>
  <si>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</si>
  <si>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</si>
  <si>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</si>
  <si>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</si>
  <si>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</si>
  <si>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</si>
  <si>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</si>
  <si>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</si>
  <si>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</si>
  <si>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</si>
  <si>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</si>
  <si>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</si>
  <si>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</si>
  <si>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</si>
  <si>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</si>
  <si>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</si>
  <si>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</si>
  <si>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</si>
  <si>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</si>
  <si>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</si>
  <si>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</si>
  <si>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</si>
  <si>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</si>
  <si>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</si>
  <si>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</si>
  <si>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</si>
  <si>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</si>
  <si>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</si>
  <si>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</si>
  <si>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</si>
  <si>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</si>
  <si>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</si>
  <si>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</si>
  <si>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</si>
  <si>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</si>
  <si>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</si>
  <si>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</si>
  <si>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</si>
  <si>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</si>
  <si>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</si>
  <si>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</si>
  <si>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</si>
  <si>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</si>
  <si>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</si>
  <si>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</si>
  <si>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</si>
  <si>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</si>
  <si>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</si>
  <si>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</si>
  <si>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</si>
  <si>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</si>
  <si>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</si>
  <si>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</si>
  <si>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</si>
  <si>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</si>
  <si>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</si>
  <si>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</si>
  <si>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</si>
  <si>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</si>
  <si>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</si>
  <si>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</si>
  <si>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</si>
  <si>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</si>
  <si>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</si>
  <si>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</si>
  <si>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</si>
  <si>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</si>
  <si>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</si>
  <si>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</si>
  <si>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</si>
  <si>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</si>
  <si>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</si>
  <si>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</si>
  <si>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</si>
  <si>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</si>
  <si>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</si>
  <si>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</si>
  <si>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</si>
  <si>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</si>
  <si>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</si>
  <si>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</si>
  <si>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</si>
  <si>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</si>
  <si>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</si>
  <si>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</si>
  <si>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</si>
  <si>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</si>
  <si>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</si>
  <si>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</si>
  <si>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</si>
  <si>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</si>
  <si>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</si>
  <si>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</si>
  <si>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</si>
  <si>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</si>
  <si>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</si>
  <si>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</si>
  <si>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</si>
  <si>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</si>
  <si>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</si>
  <si>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</si>
  <si>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</si>
  <si>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</si>
  <si>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</si>
  <si>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</si>
  <si>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</si>
  <si>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</si>
  <si>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</si>
  <si>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</si>
  <si>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</si>
  <si>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</si>
  <si>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</si>
  <si>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</si>
  <si>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</si>
  <si>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</si>
  <si>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</si>
  <si>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</si>
  <si>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</si>
  <si>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</si>
  <si>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</si>
  <si>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</si>
  <si>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</si>
  <si>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</si>
  <si>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</si>
  <si>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</si>
  <si>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</si>
  <si>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</si>
  <si>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</si>
  <si>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</si>
  <si>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</si>
  <si>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</si>
  <si>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</si>
  <si>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</si>
  <si>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</si>
  <si>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</si>
  <si>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</si>
  <si>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</si>
  <si>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</si>
  <si>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</si>
  <si>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</si>
  <si>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</si>
  <si>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</si>
  <si>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</si>
  <si>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</si>
  <si>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</si>
  <si>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</si>
  <si>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</si>
  <si>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</si>
  <si>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</si>
  <si>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</si>
  <si>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</si>
  <si>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</si>
  <si>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</si>
  <si>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</si>
  <si>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</si>
  <si>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</si>
  <si>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</si>
  <si>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</si>
  <si>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</si>
  <si>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</si>
  <si>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</si>
  <si>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</si>
  <si>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</si>
  <si>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</si>
  <si>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</si>
  <si>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</si>
  <si>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</si>
  <si>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</si>
  <si>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</si>
  <si>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</si>
  <si>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</si>
  <si>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</si>
  <si>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</si>
  <si>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</si>
  <si>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</si>
  <si>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</si>
  <si>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</si>
  <si>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</si>
  <si>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</si>
  <si>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</si>
  <si>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</si>
  <si>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</si>
  <si>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</si>
  <si>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</si>
  <si>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</si>
  <si>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</si>
  <si>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</si>
  <si>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</si>
  <si>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</si>
  <si>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</si>
  <si>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</si>
  <si>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</si>
  <si>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</si>
  <si>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</si>
  <si>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</si>
  <si>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</si>
  <si>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</si>
  <si>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</si>
  <si>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</si>
  <si>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</si>
  <si>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</si>
  <si>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</si>
  <si>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</si>
  <si>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</si>
  <si>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</si>
  <si>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</si>
  <si>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</si>
  <si>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</si>
  <si>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</si>
  <si>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</si>
  <si>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</si>
  <si>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</si>
  <si>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</si>
  <si>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</si>
  <si>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</si>
  <si>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</si>
  <si>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</si>
  <si>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</si>
  <si>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</si>
  <si>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</si>
  <si>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</si>
  <si>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</si>
  <si>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</si>
  <si>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</si>
  <si>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</si>
  <si>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</si>
  <si>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</si>
  <si>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</si>
  <si>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</si>
  <si>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</si>
  <si>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</si>
  <si>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</si>
  <si>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</si>
  <si>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</si>
  <si>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</si>
  <si>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</si>
  <si>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</si>
  <si>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</si>
  <si>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</si>
  <si>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</si>
  <si>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</si>
  <si>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</si>
  <si>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</si>
  <si>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</si>
  <si>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</si>
  <si>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</si>
  <si>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</si>
  <si>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</si>
  <si>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</si>
  <si>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</si>
  <si>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</si>
  <si>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</si>
  <si>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</si>
  <si>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</si>
  <si>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</si>
  <si>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</si>
  <si>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</si>
  <si>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</si>
  <si>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</si>
  <si>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</si>
  <si>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</si>
  <si>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</si>
  <si>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</si>
  <si>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</si>
  <si>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</si>
  <si>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</si>
  <si>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</si>
  <si>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</si>
  <si>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</si>
  <si>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</si>
  <si>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</si>
  <si>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</si>
  <si>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</si>
  <si>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</si>
  <si>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</si>
  <si>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</si>
  <si>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</si>
  <si>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</si>
  <si>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</si>
  <si>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</si>
  <si>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</si>
  <si>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</si>
  <si>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</si>
  <si>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</si>
  <si>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</si>
  <si>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</si>
  <si>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</si>
  <si>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</si>
  <si>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</si>
  <si>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</si>
  <si>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</si>
  <si>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</si>
  <si>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</si>
  <si>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</si>
  <si>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</si>
  <si>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</si>
  <si>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</si>
  <si>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</si>
  <si>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</si>
  <si>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</si>
  <si>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</si>
  <si>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</si>
  <si>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</si>
  <si>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</si>
  <si>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</si>
  <si>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</si>
  <si>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</si>
  <si>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</si>
  <si>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</si>
  <si>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</si>
  <si>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</si>
  <si>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</si>
  <si>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</si>
  <si>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</si>
  <si>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</si>
  <si>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</si>
  <si>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</si>
  <si>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</si>
  <si>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</si>
  <si>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</si>
  <si>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</si>
  <si>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</si>
  <si>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</si>
  <si>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</si>
  <si>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</si>
  <si>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</si>
  <si>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</si>
  <si>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</si>
  <si>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</si>
  <si>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</si>
  <si>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</si>
  <si>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</si>
  <si>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</si>
  <si>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</si>
  <si>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</si>
  <si>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</si>
  <si>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</si>
  <si>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</si>
  <si>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</si>
  <si>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</si>
  <si>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</si>
  <si>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</si>
  <si>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</si>
  <si>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</si>
  <si>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</si>
  <si>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</si>
  <si>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</si>
  <si>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</si>
  <si>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</si>
  <si>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</si>
  <si>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</si>
  <si>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</si>
  <si>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</si>
  <si>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</si>
  <si>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</si>
  <si>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</si>
  <si>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</si>
  <si>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</si>
  <si>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</si>
  <si>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</si>
  <si>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</si>
  <si>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</si>
  <si>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</si>
  <si>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</si>
  <si>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</si>
  <si>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</si>
  <si>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</si>
  <si>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</si>
  <si>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</si>
  <si>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</si>
  <si>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</si>
  <si>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</si>
  <si>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</si>
  <si>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</si>
  <si>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</si>
  <si>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</si>
  <si>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</si>
  <si>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</si>
  <si>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</si>
  <si>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</si>
  <si>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</si>
  <si>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</si>
  <si>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</si>
  <si>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</si>
  <si>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</si>
  <si>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</si>
  <si>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</si>
  <si>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</si>
  <si>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</si>
  <si>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</si>
  <si>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</si>
  <si>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</si>
  <si>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</si>
  <si>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</si>
  <si>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</si>
  <si>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</si>
  <si>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</si>
  <si>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</si>
  <si>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</si>
  <si>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</si>
  <si>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</si>
  <si>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</si>
  <si>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</si>
  <si>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</si>
  <si>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</si>
  <si>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</si>
  <si>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</si>
  <si>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</si>
  <si>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</si>
  <si>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</si>
  <si>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</si>
  <si>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</si>
  <si>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</si>
  <si>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</si>
  <si>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</si>
  <si>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</si>
  <si>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</si>
  <si>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</si>
  <si>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</si>
  <si>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</si>
  <si>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</si>
  <si>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</si>
  <si>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</si>
  <si>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</si>
  <si>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</si>
  <si>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</si>
  <si>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</si>
  <si>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</si>
  <si>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</si>
  <si>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</si>
  <si>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</si>
  <si>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</si>
  <si>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</si>
  <si>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</si>
  <si>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</si>
  <si>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</si>
  <si>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</si>
  <si>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</si>
  <si>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</si>
  <si>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</si>
  <si>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</si>
  <si>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</si>
  <si>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</si>
  <si>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</si>
  <si>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</si>
  <si>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</si>
  <si>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</si>
  <si>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</si>
  <si>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</si>
  <si>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</si>
  <si>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</si>
  <si>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</si>
  <si>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</si>
  <si>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</si>
  <si>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</si>
  <si>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</si>
  <si>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</si>
  <si>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</si>
  <si>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</si>
  <si>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</si>
  <si>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</si>
  <si>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</si>
  <si>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</si>
  <si>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гр. София, бул. "Петко Каравелов" №34</t>
  </si>
  <si>
    <t>гр. София, ул. "Бяло поле" №3, ет.3</t>
  </si>
  <si>
    <t>028504666</t>
  </si>
  <si>
    <t>028504665</t>
  </si>
  <si>
    <t>office@todoroff-wines.com</t>
  </si>
  <si>
    <t>www.todoroff-wines.com</t>
  </si>
  <si>
    <t>www.investor.bg</t>
  </si>
  <si>
    <t>Главен счетоводител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</si>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</sst>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Колев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ТОДОРОВ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3776</v>
      </c>
      <c r="D6" s="675">
        <f aca="true" t="shared" si="0" ref="D6:D15">C6-E6</f>
        <v>0</v>
      </c>
      <c r="E6" s="674">
        <f>'1-Баланс'!G95</f>
        <v>3776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745</v>
      </c>
      <c r="D7" s="675">
        <f t="shared" si="0"/>
        <v>-2655</v>
      </c>
      <c r="E7" s="674">
        <f>'1-Баланс'!G18</f>
        <v>3400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-393</v>
      </c>
      <c r="D8" s="675">
        <f t="shared" si="0"/>
        <v>0</v>
      </c>
      <c r="E8" s="674">
        <f>ABS('2-Отчет за доходите'!C44)-ABS('2-Отчет за доходите'!G44)</f>
        <v>-393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19</v>
      </c>
      <c r="D10" s="675">
        <f t="shared" si="0"/>
        <v>0</v>
      </c>
      <c r="E10" s="674">
        <f>'3-Отчет за паричния поток'!C46</f>
        <v>19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745</v>
      </c>
      <c r="D11" s="675">
        <f t="shared" si="0"/>
        <v>0</v>
      </c>
      <c r="E11" s="674">
        <f>'4-Отчет за собствения капитал'!L34</f>
        <v>745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1127</v>
      </c>
      <c r="D12" s="675">
        <f t="shared" si="0"/>
        <v>0</v>
      </c>
      <c r="E12" s="674">
        <f>'Справка 5'!C27+'Справка 5'!C97</f>
        <v>1127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-0.22203389830508474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-0.5275167785234899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-0.12966017815902342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-0.10407838983050847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0.8136759981642956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0.5310707456978967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0.16347992351816443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0.009082217973231358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0.009082217973231358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0.841254752851711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0.46875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0.5576009501187649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4.068456375838926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0.8027012711864407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0.2563758389261745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0.14720812182741116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11.613026819923371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737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966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185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173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13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201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2665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173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189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75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330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767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189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107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323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1111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3776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214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712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-2974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646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-3620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-393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-3367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745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814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825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114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939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2081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359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775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466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128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125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198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2090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2092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495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247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70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462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59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297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222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132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99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1984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191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195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2179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2179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-13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-13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2166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1245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512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1770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1773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406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1773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406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393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393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1685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-1128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-480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-52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-79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373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369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-292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-292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293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293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-79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214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214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567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567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79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646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646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-3620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-3620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-393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-4013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-4013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1138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1138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-393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745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745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1022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134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269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91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2579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18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33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95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4159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3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2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2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4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14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1005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134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30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1169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4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4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1173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856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24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242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91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1420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185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173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44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20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31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95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3000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856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24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242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91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1420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185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173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44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20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31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95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3000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109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783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267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65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1265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38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18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22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78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1343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42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66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2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70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801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46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30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877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877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119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240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71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454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40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82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536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119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240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71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454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40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82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536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737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20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966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185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173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4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8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13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2464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201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189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164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25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107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323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524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279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254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25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107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413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413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201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-90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-90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-90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111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814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814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825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359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52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9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1722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775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466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128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30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198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104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94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125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2090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2915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359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52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9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1722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775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466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128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30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198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104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94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125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2090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2090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814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814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825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825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171</v>
      </c>
      <c r="D12" s="196">
        <v>171</v>
      </c>
      <c r="E12" s="89" t="s">
        <v>25</v>
      </c>
      <c r="F12" s="93" t="s">
        <v>26</v>
      </c>
      <c r="G12" s="197">
        <v>3400</v>
      </c>
      <c r="H12" s="196">
        <v>3400</v>
      </c>
    </row>
    <row r="13" spans="1:8" ht="15.75">
      <c r="A13" s="89" t="s">
        <v>27</v>
      </c>
      <c r="B13" s="91" t="s">
        <v>28</v>
      </c>
      <c r="C13" s="197">
        <v>737</v>
      </c>
      <c r="D13" s="196">
        <v>747</v>
      </c>
      <c r="E13" s="89" t="s">
        <v>846</v>
      </c>
      <c r="F13" s="93" t="s">
        <v>29</v>
      </c>
      <c r="G13" s="197">
        <v>3400</v>
      </c>
      <c r="H13" s="196">
        <v>3400</v>
      </c>
    </row>
    <row r="14" spans="1:8" ht="15.75">
      <c r="A14" s="89" t="s">
        <v>30</v>
      </c>
      <c r="B14" s="91" t="s">
        <v>31</v>
      </c>
      <c r="C14" s="197"/>
      <c r="D14" s="196">
        <v>239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>
        <v>93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</v>
      </c>
      <c r="D17" s="196">
        <v>26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3400</v>
      </c>
      <c r="H18" s="610">
        <f>H12+H15+H16+H17</f>
        <v>3400</v>
      </c>
    </row>
    <row r="19" spans="1:8" ht="15.75">
      <c r="A19" s="89" t="s">
        <v>49</v>
      </c>
      <c r="B19" s="91" t="s">
        <v>50</v>
      </c>
      <c r="C19" s="197">
        <v>36</v>
      </c>
      <c r="D19" s="196">
        <v>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966</v>
      </c>
      <c r="D20" s="598">
        <f>SUM(D12:D19)</f>
        <v>1314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185</v>
      </c>
      <c r="D21" s="477">
        <v>185</v>
      </c>
      <c r="E21" s="89" t="s">
        <v>58</v>
      </c>
      <c r="F21" s="93" t="s">
        <v>59</v>
      </c>
      <c r="G21" s="197">
        <v>214</v>
      </c>
      <c r="H21" s="196">
        <v>293</v>
      </c>
    </row>
    <row r="22" spans="1:13" ht="15.75">
      <c r="A22" s="100" t="s">
        <v>60</v>
      </c>
      <c r="B22" s="97" t="s">
        <v>61</v>
      </c>
      <c r="C22" s="476">
        <v>173</v>
      </c>
      <c r="D22" s="477">
        <v>173</v>
      </c>
      <c r="E22" s="201" t="s">
        <v>62</v>
      </c>
      <c r="F22" s="93" t="s">
        <v>63</v>
      </c>
      <c r="G22" s="613">
        <f>SUM(G23:G25)</f>
        <v>498</v>
      </c>
      <c r="H22" s="614">
        <f>SUM(H23:H25)</f>
        <v>498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4</v>
      </c>
      <c r="D24" s="196">
        <v>6</v>
      </c>
      <c r="E24" s="202" t="s">
        <v>69</v>
      </c>
      <c r="F24" s="93" t="s">
        <v>70</v>
      </c>
      <c r="G24" s="197">
        <v>498</v>
      </c>
      <c r="H24" s="196">
        <v>498</v>
      </c>
      <c r="M24" s="98"/>
    </row>
    <row r="25" spans="1:8" ht="15.75">
      <c r="A25" s="89" t="s">
        <v>71</v>
      </c>
      <c r="B25" s="91" t="s">
        <v>72</v>
      </c>
      <c r="C25" s="197">
        <v>1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712</v>
      </c>
      <c r="H26" s="598">
        <f>H20+H21+H22</f>
        <v>791</v>
      </c>
      <c r="M26" s="98"/>
    </row>
    <row r="27" spans="1:8" ht="15.75">
      <c r="A27" s="89" t="s">
        <v>79</v>
      </c>
      <c r="B27" s="91" t="s">
        <v>80</v>
      </c>
      <c r="C27" s="197">
        <v>8</v>
      </c>
      <c r="D27" s="196">
        <v>11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13</v>
      </c>
      <c r="D28" s="598">
        <f>SUM(D24:D27)</f>
        <v>17</v>
      </c>
      <c r="E28" s="202" t="s">
        <v>84</v>
      </c>
      <c r="F28" s="93" t="s">
        <v>85</v>
      </c>
      <c r="G28" s="595">
        <f>SUM(G29:G31)</f>
        <v>-2974</v>
      </c>
      <c r="H28" s="596">
        <f>SUM(H29:H31)</f>
        <v>-2452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646</v>
      </c>
      <c r="H29" s="196">
        <v>567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-3620</v>
      </c>
      <c r="H30" s="196">
        <v>-3019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-393</v>
      </c>
      <c r="H33" s="196">
        <v>-601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-3367</v>
      </c>
      <c r="H34" s="598">
        <f>H28+H32+H33</f>
        <v>-3053</v>
      </c>
    </row>
    <row r="35" spans="1:8" ht="15.75">
      <c r="A35" s="89" t="s">
        <v>106</v>
      </c>
      <c r="B35" s="94" t="s">
        <v>107</v>
      </c>
      <c r="C35" s="595">
        <f>SUM(C36:C39)</f>
        <v>1127</v>
      </c>
      <c r="D35" s="596">
        <f>SUM(D36:D39)</f>
        <v>1127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1127</v>
      </c>
      <c r="D36" s="196">
        <v>1127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745</v>
      </c>
      <c r="H37" s="600">
        <f>H26+H18+H34</f>
        <v>1138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479+237+98</f>
        <v>814</v>
      </c>
      <c r="H45" s="196">
        <v>746</v>
      </c>
    </row>
    <row r="46" spans="1:13" ht="15.75">
      <c r="A46" s="473" t="s">
        <v>137</v>
      </c>
      <c r="B46" s="96" t="s">
        <v>138</v>
      </c>
      <c r="C46" s="597">
        <f>C35+C40+C45</f>
        <v>1127</v>
      </c>
      <c r="D46" s="598">
        <f>D35+D40+D45</f>
        <v>1127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>
        <v>174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6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825</v>
      </c>
      <c r="H50" s="596">
        <f>SUM(H44:H49)</f>
        <v>931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201</v>
      </c>
      <c r="D55" s="479">
        <v>188</v>
      </c>
      <c r="E55" s="89" t="s">
        <v>168</v>
      </c>
      <c r="F55" s="95" t="s">
        <v>169</v>
      </c>
      <c r="G55" s="197">
        <v>114</v>
      </c>
      <c r="H55" s="196">
        <v>116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2665</v>
      </c>
      <c r="D56" s="602">
        <f>D20+D21+D22+D28+D33+D46+D52+D54+D55</f>
        <v>3004</v>
      </c>
      <c r="E56" s="100" t="s">
        <v>850</v>
      </c>
      <c r="F56" s="99" t="s">
        <v>172</v>
      </c>
      <c r="G56" s="599">
        <f>G50+G52+G53+G54+G55</f>
        <v>939</v>
      </c>
      <c r="H56" s="600">
        <f>H50+H52+H53+H54+H55</f>
        <v>1047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173</f>
        <v>173</v>
      </c>
      <c r="D59" s="196">
        <v>184</v>
      </c>
      <c r="E59" s="201" t="s">
        <v>180</v>
      </c>
      <c r="F59" s="486" t="s">
        <v>181</v>
      </c>
      <c r="G59" s="197">
        <f>9</f>
        <v>9</v>
      </c>
      <c r="H59" s="196">
        <v>154</v>
      </c>
    </row>
    <row r="60" spans="1:13" ht="15.75">
      <c r="A60" s="89" t="s">
        <v>178</v>
      </c>
      <c r="B60" s="91" t="s">
        <v>179</v>
      </c>
      <c r="C60" s="197">
        <f>189</f>
        <v>189</v>
      </c>
      <c r="D60" s="196">
        <v>178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75</f>
        <v>75</v>
      </c>
      <c r="D61" s="196">
        <v>82</v>
      </c>
      <c r="E61" s="200" t="s">
        <v>188</v>
      </c>
      <c r="F61" s="93" t="s">
        <v>189</v>
      </c>
      <c r="G61" s="595">
        <f>SUM(G62:G68)</f>
        <v>2081</v>
      </c>
      <c r="H61" s="596">
        <f>SUM(H62:H68)</f>
        <v>1964</v>
      </c>
    </row>
    <row r="62" spans="1:13" ht="15.75">
      <c r="A62" s="89" t="s">
        <v>186</v>
      </c>
      <c r="B62" s="94" t="s">
        <v>187</v>
      </c>
      <c r="C62" s="197">
        <f>330</f>
        <v>330</v>
      </c>
      <c r="D62" s="196">
        <v>424</v>
      </c>
      <c r="E62" s="200" t="s">
        <v>192</v>
      </c>
      <c r="F62" s="93" t="s">
        <v>193</v>
      </c>
      <c r="G62" s="197">
        <f>307+52</f>
        <v>359</v>
      </c>
      <c r="H62" s="196">
        <v>366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200+1+10+100+20+411+33</f>
        <v>775</v>
      </c>
      <c r="H63" s="196">
        <v>721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467+7-21+8+5</f>
        <v>466</v>
      </c>
      <c r="H64" s="196">
        <v>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767</v>
      </c>
      <c r="D65" s="598">
        <f>SUM(D59:D64)</f>
        <v>868</v>
      </c>
      <c r="E65" s="89" t="s">
        <v>201</v>
      </c>
      <c r="F65" s="93" t="s">
        <v>202</v>
      </c>
      <c r="G65" s="197">
        <f>127+1</f>
        <v>128</v>
      </c>
      <c r="H65" s="196">
        <v>133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30</f>
        <v>30</v>
      </c>
      <c r="H66" s="196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58+13+26+9+15+4</f>
        <v>125</v>
      </c>
      <c r="H67" s="196">
        <v>103</v>
      </c>
    </row>
    <row r="68" spans="1:8" ht="15.75">
      <c r="A68" s="89" t="s">
        <v>206</v>
      </c>
      <c r="B68" s="91" t="s">
        <v>207</v>
      </c>
      <c r="C68" s="197">
        <f>279-115+25</f>
        <v>189</v>
      </c>
      <c r="D68" s="196">
        <v>270</v>
      </c>
      <c r="E68" s="89" t="s">
        <v>212</v>
      </c>
      <c r="F68" s="93" t="s">
        <v>213</v>
      </c>
      <c r="G68" s="197">
        <f>39+13+88+16+31+11</f>
        <v>198</v>
      </c>
      <c r="H68" s="196">
        <v>144</v>
      </c>
    </row>
    <row r="69" spans="1:8" ht="15.75">
      <c r="A69" s="89" t="s">
        <v>210</v>
      </c>
      <c r="B69" s="91" t="s">
        <v>211</v>
      </c>
      <c r="C69" s="197">
        <f>94-9+7+1+8+1+3+2</f>
        <v>107</v>
      </c>
      <c r="D69" s="196">
        <v>117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f>27</f>
        <v>27</v>
      </c>
      <c r="D70" s="196">
        <v>38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2090</v>
      </c>
      <c r="H71" s="598">
        <f>H59+H60+H61+H69+H70</f>
        <v>2118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323</v>
      </c>
      <c r="D76" s="598">
        <f>SUM(D68:D75)</f>
        <v>425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2092</v>
      </c>
      <c r="H79" s="600">
        <f>H71+H73+H75+H77</f>
        <v>2120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1111</v>
      </c>
      <c r="D94" s="602">
        <f>D65+D76+D85+D92+D93</f>
        <v>1301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3776</v>
      </c>
      <c r="D95" s="604">
        <f>D94+D56</f>
        <v>4305</v>
      </c>
      <c r="E95" s="229" t="s">
        <v>942</v>
      </c>
      <c r="F95" s="489" t="s">
        <v>268</v>
      </c>
      <c r="G95" s="603">
        <f>G37+G40+G56+G79</f>
        <v>3776</v>
      </c>
      <c r="H95" s="604">
        <f>H37+H40+H56+H79</f>
        <v>4305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42765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Колев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495</v>
      </c>
      <c r="D12" s="317">
        <v>474</v>
      </c>
      <c r="E12" s="194" t="s">
        <v>277</v>
      </c>
      <c r="F12" s="240" t="s">
        <v>278</v>
      </c>
      <c r="G12" s="316">
        <v>1245</v>
      </c>
      <c r="H12" s="317">
        <v>1053</v>
      </c>
    </row>
    <row r="13" spans="1:8" ht="15.75">
      <c r="A13" s="194" t="s">
        <v>279</v>
      </c>
      <c r="B13" s="190" t="s">
        <v>280</v>
      </c>
      <c r="C13" s="316">
        <v>247</v>
      </c>
      <c r="D13" s="317">
        <v>314</v>
      </c>
      <c r="E13" s="194" t="s">
        <v>281</v>
      </c>
      <c r="F13" s="240" t="s">
        <v>282</v>
      </c>
      <c r="G13" s="316">
        <v>7</v>
      </c>
      <c r="H13" s="317">
        <v>23</v>
      </c>
    </row>
    <row r="14" spans="1:8" ht="15.75">
      <c r="A14" s="194" t="s">
        <v>283</v>
      </c>
      <c r="B14" s="190" t="s">
        <v>284</v>
      </c>
      <c r="C14" s="316">
        <v>70</v>
      </c>
      <c r="D14" s="317">
        <v>89</v>
      </c>
      <c r="E14" s="245" t="s">
        <v>285</v>
      </c>
      <c r="F14" s="240" t="s">
        <v>286</v>
      </c>
      <c r="G14" s="316">
        <v>6</v>
      </c>
      <c r="H14" s="317">
        <v>3</v>
      </c>
    </row>
    <row r="15" spans="1:8" ht="15.75">
      <c r="A15" s="194" t="s">
        <v>287</v>
      </c>
      <c r="B15" s="190" t="s">
        <v>288</v>
      </c>
      <c r="C15" s="316">
        <v>462</v>
      </c>
      <c r="D15" s="317">
        <v>447</v>
      </c>
      <c r="E15" s="245" t="s">
        <v>79</v>
      </c>
      <c r="F15" s="240" t="s">
        <v>289</v>
      </c>
      <c r="G15" s="316">
        <v>512</v>
      </c>
      <c r="H15" s="317">
        <v>218</v>
      </c>
    </row>
    <row r="16" spans="1:8" ht="15.75">
      <c r="A16" s="194" t="s">
        <v>290</v>
      </c>
      <c r="B16" s="190" t="s">
        <v>291</v>
      </c>
      <c r="C16" s="316">
        <v>59</v>
      </c>
      <c r="D16" s="317">
        <v>56</v>
      </c>
      <c r="E16" s="236" t="s">
        <v>52</v>
      </c>
      <c r="F16" s="264" t="s">
        <v>292</v>
      </c>
      <c r="G16" s="628">
        <f>SUM(G12:G15)</f>
        <v>1770</v>
      </c>
      <c r="H16" s="629">
        <f>SUM(H12:H15)</f>
        <v>1297</v>
      </c>
    </row>
    <row r="17" spans="1:8" ht="31.5">
      <c r="A17" s="194" t="s">
        <v>293</v>
      </c>
      <c r="B17" s="190" t="s">
        <v>294</v>
      </c>
      <c r="C17" s="316">
        <v>297</v>
      </c>
      <c r="D17" s="317">
        <v>228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222</v>
      </c>
      <c r="D18" s="317">
        <v>82</v>
      </c>
      <c r="E18" s="234" t="s">
        <v>297</v>
      </c>
      <c r="F18" s="238" t="s">
        <v>298</v>
      </c>
      <c r="G18" s="639">
        <v>3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132</v>
      </c>
      <c r="D19" s="317">
        <v>54</v>
      </c>
      <c r="E19" s="194" t="s">
        <v>301</v>
      </c>
      <c r="F19" s="237" t="s">
        <v>302</v>
      </c>
      <c r="G19" s="316">
        <v>3</v>
      </c>
      <c r="H19" s="317">
        <v>2</v>
      </c>
    </row>
    <row r="20" spans="1:8" ht="15.75">
      <c r="A20" s="235" t="s">
        <v>303</v>
      </c>
      <c r="B20" s="190" t="s">
        <v>304</v>
      </c>
      <c r="C20" s="316">
        <v>99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1984</v>
      </c>
      <c r="D22" s="629">
        <f>SUM(D12:D18)+D19</f>
        <v>1744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17</v>
      </c>
    </row>
    <row r="25" spans="1:8" ht="31.5">
      <c r="A25" s="194" t="s">
        <v>316</v>
      </c>
      <c r="B25" s="237" t="s">
        <v>317</v>
      </c>
      <c r="C25" s="316">
        <v>191</v>
      </c>
      <c r="D25" s="317">
        <v>197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9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18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195</v>
      </c>
      <c r="D29" s="629">
        <f>SUM(D25:D28)</f>
        <v>210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2179</v>
      </c>
      <c r="D31" s="635">
        <f>D29+D22</f>
        <v>1954</v>
      </c>
      <c r="E31" s="251" t="s">
        <v>824</v>
      </c>
      <c r="F31" s="266" t="s">
        <v>331</v>
      </c>
      <c r="G31" s="253">
        <f>G16+G18+G27</f>
        <v>1773</v>
      </c>
      <c r="H31" s="254">
        <f>H16+H18+H27</f>
        <v>1317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406</v>
      </c>
      <c r="H33" s="629">
        <f>IF((D31-H31)&gt;0,D31-H31,0)</f>
        <v>637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2179</v>
      </c>
      <c r="D36" s="637">
        <f>D31-D34+D35</f>
        <v>1954</v>
      </c>
      <c r="E36" s="262" t="s">
        <v>346</v>
      </c>
      <c r="F36" s="256" t="s">
        <v>347</v>
      </c>
      <c r="G36" s="267">
        <f>G35-G34+G31</f>
        <v>1773</v>
      </c>
      <c r="H36" s="268">
        <f>H35-H34+H31</f>
        <v>1317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406</v>
      </c>
      <c r="H37" s="254">
        <f>IF((D36-H36)&gt;0,D36-H36,0)</f>
        <v>637</v>
      </c>
    </row>
    <row r="38" spans="1:8" ht="15.75">
      <c r="A38" s="234" t="s">
        <v>352</v>
      </c>
      <c r="B38" s="238" t="s">
        <v>353</v>
      </c>
      <c r="C38" s="628">
        <f>C39+C40+C41</f>
        <v>-13</v>
      </c>
      <c r="D38" s="629">
        <f>D39+D40+D41</f>
        <v>-36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-13</v>
      </c>
      <c r="D40" s="317">
        <v>-36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393</v>
      </c>
      <c r="H42" s="244">
        <f>IF(H37&gt;0,IF(D38+H37&lt;0,0,D38+H37),IF(D37-D38&lt;0,D38-D37,0))</f>
        <v>601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393</v>
      </c>
      <c r="H44" s="268">
        <f>IF(D42=0,IF(H42-H43&gt;0,H42-H43+D43,0),IF(D42-D43&lt;0,D43-D42+H43,0))</f>
        <v>601</v>
      </c>
    </row>
    <row r="45" spans="1:8" ht="16.5" thickBot="1">
      <c r="A45" s="270" t="s">
        <v>371</v>
      </c>
      <c r="B45" s="271" t="s">
        <v>372</v>
      </c>
      <c r="C45" s="630">
        <f>C36+C38+C42</f>
        <v>2166</v>
      </c>
      <c r="D45" s="631">
        <f>D36+D38+D42</f>
        <v>1918</v>
      </c>
      <c r="E45" s="270" t="s">
        <v>373</v>
      </c>
      <c r="F45" s="272" t="s">
        <v>374</v>
      </c>
      <c r="G45" s="630">
        <f>G42+G36</f>
        <v>2166</v>
      </c>
      <c r="H45" s="631">
        <f>H42+H36</f>
        <v>1918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42765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Колев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1685</v>
      </c>
      <c r="D11" s="196">
        <v>1935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-1128</v>
      </c>
      <c r="D12" s="196">
        <v>-1765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-480</v>
      </c>
      <c r="D14" s="196">
        <v>-527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-52</v>
      </c>
      <c r="D15" s="196">
        <v>-181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-79</v>
      </c>
      <c r="D18" s="196">
        <v>-133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6">
        <v>-21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-64</v>
      </c>
      <c r="D21" s="659">
        <f>SUM(D11:D20)</f>
        <v>-684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6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373</v>
      </c>
      <c r="D24" s="196">
        <v>228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369</v>
      </c>
      <c r="D33" s="659">
        <f>SUM(D23:D32)</f>
        <v>224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791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-292</v>
      </c>
      <c r="D38" s="196">
        <v>-353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-292</v>
      </c>
      <c r="D43" s="661">
        <f>SUM(D35:D42)</f>
        <v>438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</v>
      </c>
      <c r="D44" s="307">
        <f>D43+D33+D21</f>
        <v>-22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</v>
      </c>
      <c r="D47" s="298">
        <v>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42765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Колев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3400</v>
      </c>
      <c r="D13" s="584">
        <f>'1-Баланс'!H20</f>
        <v>0</v>
      </c>
      <c r="E13" s="584">
        <f>'1-Баланс'!H21</f>
        <v>293</v>
      </c>
      <c r="F13" s="584">
        <f>'1-Баланс'!H23</f>
        <v>0</v>
      </c>
      <c r="G13" s="584">
        <f>'1-Баланс'!H24</f>
        <v>498</v>
      </c>
      <c r="H13" s="585"/>
      <c r="I13" s="584">
        <f>'1-Баланс'!H29+'1-Баланс'!H32</f>
        <v>567</v>
      </c>
      <c r="J13" s="584">
        <f>'1-Баланс'!H30+'1-Баланс'!H33</f>
        <v>-3620</v>
      </c>
      <c r="K13" s="585"/>
      <c r="L13" s="584">
        <f>SUM(C13:K13)</f>
        <v>1138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3400</v>
      </c>
      <c r="D17" s="653">
        <f aca="true" t="shared" si="2" ref="D17:M17">D13+D14</f>
        <v>0</v>
      </c>
      <c r="E17" s="653">
        <f t="shared" si="2"/>
        <v>293</v>
      </c>
      <c r="F17" s="653">
        <f t="shared" si="2"/>
        <v>0</v>
      </c>
      <c r="G17" s="653">
        <f t="shared" si="2"/>
        <v>498</v>
      </c>
      <c r="H17" s="653">
        <f t="shared" si="2"/>
        <v>0</v>
      </c>
      <c r="I17" s="653">
        <f t="shared" si="2"/>
        <v>567</v>
      </c>
      <c r="J17" s="653">
        <f t="shared" si="2"/>
        <v>-3620</v>
      </c>
      <c r="K17" s="653">
        <f t="shared" si="2"/>
        <v>0</v>
      </c>
      <c r="L17" s="584">
        <f t="shared" si="1"/>
        <v>1138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-393</v>
      </c>
      <c r="K18" s="585"/>
      <c r="L18" s="584">
        <f t="shared" si="1"/>
        <v>-393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-79</v>
      </c>
      <c r="F30" s="316"/>
      <c r="G30" s="316"/>
      <c r="H30" s="316"/>
      <c r="I30" s="316">
        <v>79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3400</v>
      </c>
      <c r="D31" s="653">
        <f aca="true" t="shared" si="6" ref="D31:M31">D19+D22+D23+D26+D30+D29+D17+D18</f>
        <v>0</v>
      </c>
      <c r="E31" s="653">
        <f t="shared" si="6"/>
        <v>214</v>
      </c>
      <c r="F31" s="653">
        <f t="shared" si="6"/>
        <v>0</v>
      </c>
      <c r="G31" s="653">
        <f t="shared" si="6"/>
        <v>498</v>
      </c>
      <c r="H31" s="653">
        <f t="shared" si="6"/>
        <v>0</v>
      </c>
      <c r="I31" s="653">
        <f t="shared" si="6"/>
        <v>646</v>
      </c>
      <c r="J31" s="653">
        <f t="shared" si="6"/>
        <v>-4013</v>
      </c>
      <c r="K31" s="653">
        <f t="shared" si="6"/>
        <v>0</v>
      </c>
      <c r="L31" s="584">
        <f t="shared" si="1"/>
        <v>745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3400</v>
      </c>
      <c r="D34" s="587">
        <f t="shared" si="7"/>
        <v>0</v>
      </c>
      <c r="E34" s="587">
        <f t="shared" si="7"/>
        <v>214</v>
      </c>
      <c r="F34" s="587">
        <f t="shared" si="7"/>
        <v>0</v>
      </c>
      <c r="G34" s="587">
        <f t="shared" si="7"/>
        <v>498</v>
      </c>
      <c r="H34" s="587">
        <f t="shared" si="7"/>
        <v>0</v>
      </c>
      <c r="I34" s="587">
        <f t="shared" si="7"/>
        <v>646</v>
      </c>
      <c r="J34" s="587">
        <f t="shared" si="7"/>
        <v>-4013</v>
      </c>
      <c r="K34" s="587">
        <f t="shared" si="7"/>
        <v>0</v>
      </c>
      <c r="L34" s="651">
        <f t="shared" si="1"/>
        <v>745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42765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Колев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 t="s">
        <v>1002</v>
      </c>
      <c r="C12" s="92">
        <v>1127</v>
      </c>
      <c r="D12" s="92">
        <v>100</v>
      </c>
      <c r="E12" s="92"/>
      <c r="F12" s="469">
        <f>C12-E12</f>
        <v>1127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1127</v>
      </c>
      <c r="D27" s="472"/>
      <c r="E27" s="472">
        <f>SUM(E12:E26)</f>
        <v>0</v>
      </c>
      <c r="F27" s="472">
        <f>SUM(F12:F26)</f>
        <v>1127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1004</v>
      </c>
      <c r="B29" s="680"/>
      <c r="C29" s="92"/>
      <c r="D29" s="92">
        <v>34</v>
      </c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1127</v>
      </c>
      <c r="D79" s="472"/>
      <c r="E79" s="472">
        <f>E78+E61+E44+E27</f>
        <v>0</v>
      </c>
      <c r="F79" s="472">
        <f>F78+F61+F44+F27</f>
        <v>1127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42765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Колев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856</v>
      </c>
      <c r="E12" s="328"/>
      <c r="F12" s="328"/>
      <c r="G12" s="329">
        <f aca="true" t="shared" si="2" ref="G12:G41">D12+E12-F12</f>
        <v>856</v>
      </c>
      <c r="H12" s="328"/>
      <c r="I12" s="328"/>
      <c r="J12" s="329">
        <f aca="true" t="shared" si="3" ref="J12:J41">G12+H12-I12</f>
        <v>856</v>
      </c>
      <c r="K12" s="328">
        <v>109</v>
      </c>
      <c r="L12" s="328">
        <v>10</v>
      </c>
      <c r="M12" s="328"/>
      <c r="N12" s="329">
        <f aca="true" t="shared" si="4" ref="N12:N41">K12+L12-M12</f>
        <v>119</v>
      </c>
      <c r="O12" s="328"/>
      <c r="P12" s="328"/>
      <c r="Q12" s="329">
        <f t="shared" si="0"/>
        <v>119</v>
      </c>
      <c r="R12" s="340">
        <f t="shared" si="1"/>
        <v>737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1022</v>
      </c>
      <c r="E13" s="328">
        <v>7</v>
      </c>
      <c r="F13" s="328">
        <v>1005</v>
      </c>
      <c r="G13" s="329">
        <f t="shared" si="2"/>
        <v>24</v>
      </c>
      <c r="H13" s="328"/>
      <c r="I13" s="328"/>
      <c r="J13" s="329">
        <f t="shared" si="3"/>
        <v>24</v>
      </c>
      <c r="K13" s="328">
        <v>783</v>
      </c>
      <c r="L13" s="328">
        <v>42</v>
      </c>
      <c r="M13" s="328">
        <v>801</v>
      </c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134</v>
      </c>
      <c r="E14" s="328"/>
      <c r="F14" s="328">
        <v>134</v>
      </c>
      <c r="G14" s="329">
        <f t="shared" si="2"/>
        <v>0</v>
      </c>
      <c r="H14" s="328"/>
      <c r="I14" s="328"/>
      <c r="J14" s="329">
        <f t="shared" si="3"/>
        <v>0</v>
      </c>
      <c r="K14" s="328">
        <v>41</v>
      </c>
      <c r="L14" s="328">
        <v>5</v>
      </c>
      <c r="M14" s="328">
        <v>46</v>
      </c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269</v>
      </c>
      <c r="E15" s="328">
        <v>3</v>
      </c>
      <c r="F15" s="328">
        <v>30</v>
      </c>
      <c r="G15" s="329">
        <f t="shared" si="2"/>
        <v>242</v>
      </c>
      <c r="H15" s="328"/>
      <c r="I15" s="328"/>
      <c r="J15" s="329">
        <f t="shared" si="3"/>
        <v>242</v>
      </c>
      <c r="K15" s="328">
        <v>267</v>
      </c>
      <c r="L15" s="328">
        <v>3</v>
      </c>
      <c r="M15" s="328">
        <v>30</v>
      </c>
      <c r="N15" s="329">
        <f t="shared" si="4"/>
        <v>240</v>
      </c>
      <c r="O15" s="328"/>
      <c r="P15" s="328"/>
      <c r="Q15" s="329">
        <f t="shared" si="0"/>
        <v>240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91</v>
      </c>
      <c r="E16" s="328"/>
      <c r="F16" s="328"/>
      <c r="G16" s="329">
        <f t="shared" si="2"/>
        <v>91</v>
      </c>
      <c r="H16" s="328"/>
      <c r="I16" s="328"/>
      <c r="J16" s="329">
        <f t="shared" si="3"/>
        <v>91</v>
      </c>
      <c r="K16" s="328">
        <v>65</v>
      </c>
      <c r="L16" s="328">
        <v>6</v>
      </c>
      <c r="M16" s="328"/>
      <c r="N16" s="329">
        <f t="shared" si="4"/>
        <v>71</v>
      </c>
      <c r="O16" s="328"/>
      <c r="P16" s="328"/>
      <c r="Q16" s="329">
        <f t="shared" si="0"/>
        <v>71</v>
      </c>
      <c r="R16" s="340">
        <f t="shared" si="1"/>
        <v>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36</v>
      </c>
      <c r="E18" s="328"/>
      <c r="F18" s="328"/>
      <c r="G18" s="329">
        <f t="shared" si="2"/>
        <v>36</v>
      </c>
      <c r="H18" s="328"/>
      <c r="I18" s="328"/>
      <c r="J18" s="329">
        <f t="shared" si="3"/>
        <v>36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2579</v>
      </c>
      <c r="E19" s="330">
        <f>SUM(E11:E18)</f>
        <v>10</v>
      </c>
      <c r="F19" s="330">
        <f>SUM(F11:F18)</f>
        <v>1169</v>
      </c>
      <c r="G19" s="329">
        <f t="shared" si="2"/>
        <v>1420</v>
      </c>
      <c r="H19" s="330">
        <f>SUM(H11:H18)</f>
        <v>0</v>
      </c>
      <c r="I19" s="330">
        <f>SUM(I11:I18)</f>
        <v>0</v>
      </c>
      <c r="J19" s="329">
        <f t="shared" si="3"/>
        <v>1420</v>
      </c>
      <c r="K19" s="330">
        <f>SUM(K11:K18)</f>
        <v>1265</v>
      </c>
      <c r="L19" s="330">
        <f>SUM(L11:L18)</f>
        <v>66</v>
      </c>
      <c r="M19" s="330">
        <f>SUM(M11:M18)</f>
        <v>877</v>
      </c>
      <c r="N19" s="329">
        <f t="shared" si="4"/>
        <v>454</v>
      </c>
      <c r="O19" s="330">
        <f>SUM(O11:O18)</f>
        <v>0</v>
      </c>
      <c r="P19" s="330">
        <f>SUM(P11:P18)</f>
        <v>0</v>
      </c>
      <c r="Q19" s="329">
        <f t="shared" si="0"/>
        <v>454</v>
      </c>
      <c r="R19" s="340">
        <f t="shared" si="1"/>
        <v>966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185</v>
      </c>
      <c r="E20" s="328"/>
      <c r="F20" s="328"/>
      <c r="G20" s="329">
        <f t="shared" si="2"/>
        <v>185</v>
      </c>
      <c r="H20" s="328"/>
      <c r="I20" s="328"/>
      <c r="J20" s="329">
        <f t="shared" si="3"/>
        <v>185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173</v>
      </c>
      <c r="E21" s="328"/>
      <c r="F21" s="328"/>
      <c r="G21" s="329">
        <f t="shared" si="2"/>
        <v>173</v>
      </c>
      <c r="H21" s="328"/>
      <c r="I21" s="328"/>
      <c r="J21" s="329">
        <f t="shared" si="3"/>
        <v>173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44</v>
      </c>
      <c r="E23" s="328"/>
      <c r="F23" s="328"/>
      <c r="G23" s="329">
        <f t="shared" si="2"/>
        <v>44</v>
      </c>
      <c r="H23" s="328"/>
      <c r="I23" s="328"/>
      <c r="J23" s="329">
        <f t="shared" si="3"/>
        <v>44</v>
      </c>
      <c r="K23" s="328">
        <v>38</v>
      </c>
      <c r="L23" s="328">
        <v>2</v>
      </c>
      <c r="M23" s="328"/>
      <c r="N23" s="329">
        <f t="shared" si="4"/>
        <v>40</v>
      </c>
      <c r="O23" s="328"/>
      <c r="P23" s="328"/>
      <c r="Q23" s="329">
        <f t="shared" si="0"/>
        <v>40</v>
      </c>
      <c r="R23" s="340">
        <f t="shared" si="1"/>
        <v>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18</v>
      </c>
      <c r="E24" s="328">
        <v>2</v>
      </c>
      <c r="F24" s="328"/>
      <c r="G24" s="329">
        <f t="shared" si="2"/>
        <v>20</v>
      </c>
      <c r="H24" s="328"/>
      <c r="I24" s="328"/>
      <c r="J24" s="329">
        <f t="shared" si="3"/>
        <v>20</v>
      </c>
      <c r="K24" s="328">
        <v>18</v>
      </c>
      <c r="L24" s="328">
        <v>1</v>
      </c>
      <c r="M24" s="328"/>
      <c r="N24" s="329">
        <f t="shared" si="4"/>
        <v>19</v>
      </c>
      <c r="O24" s="328"/>
      <c r="P24" s="328"/>
      <c r="Q24" s="329">
        <f t="shared" si="0"/>
        <v>19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33</v>
      </c>
      <c r="E26" s="328">
        <v>2</v>
      </c>
      <c r="F26" s="328">
        <v>4</v>
      </c>
      <c r="G26" s="329">
        <f t="shared" si="2"/>
        <v>31</v>
      </c>
      <c r="H26" s="328"/>
      <c r="I26" s="328"/>
      <c r="J26" s="329">
        <f t="shared" si="3"/>
        <v>31</v>
      </c>
      <c r="K26" s="328">
        <v>22</v>
      </c>
      <c r="L26" s="328">
        <v>1</v>
      </c>
      <c r="M26" s="328"/>
      <c r="N26" s="329">
        <f t="shared" si="4"/>
        <v>23</v>
      </c>
      <c r="O26" s="328"/>
      <c r="P26" s="328"/>
      <c r="Q26" s="329">
        <f t="shared" si="0"/>
        <v>23</v>
      </c>
      <c r="R26" s="340">
        <f t="shared" si="1"/>
        <v>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95</v>
      </c>
      <c r="E27" s="332">
        <f aca="true" t="shared" si="5" ref="E27:P27">SUM(E23:E26)</f>
        <v>4</v>
      </c>
      <c r="F27" s="332">
        <f t="shared" si="5"/>
        <v>4</v>
      </c>
      <c r="G27" s="333">
        <f t="shared" si="2"/>
        <v>95</v>
      </c>
      <c r="H27" s="332">
        <f t="shared" si="5"/>
        <v>0</v>
      </c>
      <c r="I27" s="332">
        <f t="shared" si="5"/>
        <v>0</v>
      </c>
      <c r="J27" s="333">
        <f t="shared" si="3"/>
        <v>95</v>
      </c>
      <c r="K27" s="332">
        <f t="shared" si="5"/>
        <v>78</v>
      </c>
      <c r="L27" s="332">
        <f t="shared" si="5"/>
        <v>4</v>
      </c>
      <c r="M27" s="332">
        <f t="shared" si="5"/>
        <v>0</v>
      </c>
      <c r="N27" s="333">
        <f t="shared" si="4"/>
        <v>82</v>
      </c>
      <c r="O27" s="332">
        <f t="shared" si="5"/>
        <v>0</v>
      </c>
      <c r="P27" s="332">
        <f t="shared" si="5"/>
        <v>0</v>
      </c>
      <c r="Q27" s="333">
        <f t="shared" si="0"/>
        <v>82</v>
      </c>
      <c r="R27" s="343">
        <f t="shared" si="1"/>
        <v>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1127</v>
      </c>
      <c r="H29" s="335">
        <f t="shared" si="6"/>
        <v>0</v>
      </c>
      <c r="I29" s="335">
        <f t="shared" si="6"/>
        <v>0</v>
      </c>
      <c r="J29" s="336">
        <f t="shared" si="3"/>
        <v>1127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1127</v>
      </c>
    </row>
    <row r="30" spans="1:18" ht="15.75">
      <c r="A30" s="339"/>
      <c r="B30" s="321" t="s">
        <v>108</v>
      </c>
      <c r="C30" s="152" t="s">
        <v>563</v>
      </c>
      <c r="D30" s="328">
        <v>1127</v>
      </c>
      <c r="E30" s="328"/>
      <c r="F30" s="328"/>
      <c r="G30" s="329">
        <f t="shared" si="2"/>
        <v>1127</v>
      </c>
      <c r="H30" s="328"/>
      <c r="I30" s="328"/>
      <c r="J30" s="329">
        <f t="shared" si="3"/>
        <v>1127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1127</v>
      </c>
      <c r="H40" s="330">
        <f t="shared" si="10"/>
        <v>0</v>
      </c>
      <c r="I40" s="330">
        <f t="shared" si="10"/>
        <v>0</v>
      </c>
      <c r="J40" s="329">
        <f t="shared" si="3"/>
        <v>1127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4159</v>
      </c>
      <c r="E42" s="349">
        <f>E19+E20+E21+E27+E40+E41</f>
        <v>14</v>
      </c>
      <c r="F42" s="349">
        <f aca="true" t="shared" si="11" ref="F42:R42">F19+F20+F21+F27+F40+F41</f>
        <v>1173</v>
      </c>
      <c r="G42" s="349">
        <f t="shared" si="11"/>
        <v>3000</v>
      </c>
      <c r="H42" s="349">
        <f t="shared" si="11"/>
        <v>0</v>
      </c>
      <c r="I42" s="349">
        <f t="shared" si="11"/>
        <v>0</v>
      </c>
      <c r="J42" s="349">
        <f t="shared" si="11"/>
        <v>3000</v>
      </c>
      <c r="K42" s="349">
        <f t="shared" si="11"/>
        <v>1343</v>
      </c>
      <c r="L42" s="349">
        <f t="shared" si="11"/>
        <v>70</v>
      </c>
      <c r="M42" s="349">
        <f t="shared" si="11"/>
        <v>877</v>
      </c>
      <c r="N42" s="349">
        <f t="shared" si="11"/>
        <v>536</v>
      </c>
      <c r="O42" s="349">
        <f t="shared" si="11"/>
        <v>0</v>
      </c>
      <c r="P42" s="349">
        <f t="shared" si="11"/>
        <v>0</v>
      </c>
      <c r="Q42" s="349">
        <f t="shared" si="11"/>
        <v>536</v>
      </c>
      <c r="R42" s="350">
        <f t="shared" si="11"/>
        <v>2464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42765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Колев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 t="s">
        <v>1001</v>
      </c>
      <c r="D49" s="704"/>
      <c r="E49" s="704"/>
      <c r="F49" s="704"/>
      <c r="G49" s="704"/>
      <c r="H49" s="704"/>
      <c r="I49" s="704"/>
    </row>
    <row r="50" spans="2:9" ht="15.75">
      <c r="B50" s="696"/>
      <c r="C50" s="701"/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Q25 G23:J23 M23:Q23 G24:J24 M24:Q24 G27:Q42 G26:J26 M26:Q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201</v>
      </c>
      <c r="D23" s="443"/>
      <c r="E23" s="442">
        <f t="shared" si="0"/>
        <v>201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189</v>
      </c>
      <c r="D26" s="362">
        <f>SUM(D27:D29)</f>
        <v>279</v>
      </c>
      <c r="E26" s="369">
        <f>SUM(E27:E29)</f>
        <v>-90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164</f>
        <v>164</v>
      </c>
      <c r="D28" s="368">
        <f>254</f>
        <v>254</v>
      </c>
      <c r="E28" s="369">
        <f t="shared" si="0"/>
        <v>-90</v>
      </c>
      <c r="F28" s="133"/>
    </row>
    <row r="29" spans="1:6" ht="15.75">
      <c r="A29" s="370" t="s">
        <v>621</v>
      </c>
      <c r="B29" s="135" t="s">
        <v>622</v>
      </c>
      <c r="C29" s="368">
        <f>25</f>
        <v>25</v>
      </c>
      <c r="D29" s="368">
        <f>25</f>
        <v>25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107</f>
        <v>107</v>
      </c>
      <c r="D30" s="368">
        <f>107</f>
        <v>107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27</f>
        <v>27</v>
      </c>
      <c r="D31" s="368">
        <f>27</f>
        <v>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323</v>
      </c>
      <c r="D45" s="438">
        <f>D26+D30+D31+D33+D32+D34+D35+D40</f>
        <v>413</v>
      </c>
      <c r="E45" s="439">
        <f>E26+E30+E31+E33+E32+E34+E35+E40</f>
        <v>-90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524</v>
      </c>
      <c r="D46" s="444">
        <f>D45+D23+D21+D11</f>
        <v>413</v>
      </c>
      <c r="E46" s="445">
        <f>E45+E23+E21+E11</f>
        <v>111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814</v>
      </c>
      <c r="D58" s="138">
        <f>D59+D61</f>
        <v>0</v>
      </c>
      <c r="E58" s="136">
        <f t="shared" si="1"/>
        <v>814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814</f>
        <v>814</v>
      </c>
      <c r="D59" s="197"/>
      <c r="E59" s="136">
        <f t="shared" si="1"/>
        <v>814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825</v>
      </c>
      <c r="D68" s="435">
        <f>D54+D58+D63+D64+D65+D66</f>
        <v>0</v>
      </c>
      <c r="E68" s="436">
        <f t="shared" si="1"/>
        <v>825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359</v>
      </c>
      <c r="D73" s="137">
        <f>SUM(D74:D76)</f>
        <v>359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52</f>
        <v>52</v>
      </c>
      <c r="D74" s="197">
        <f>52</f>
        <v>52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307</f>
        <v>307</v>
      </c>
      <c r="D76" s="197">
        <f>307</f>
        <v>307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</v>
      </c>
      <c r="D77" s="138">
        <f>D78+D80</f>
        <v>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9</f>
        <v>9</v>
      </c>
      <c r="D78" s="197">
        <f>9</f>
        <v>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f>9</f>
        <v>9</v>
      </c>
      <c r="D79" s="197">
        <f>9</f>
        <v>9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1722</v>
      </c>
      <c r="D87" s="134">
        <f>SUM(D88:D92)+D96</f>
        <v>1722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775</f>
        <v>775</v>
      </c>
      <c r="D88" s="197">
        <f>775</f>
        <v>775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466</f>
        <v>466</v>
      </c>
      <c r="D89" s="197">
        <f>466</f>
        <v>466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128</f>
        <v>128</v>
      </c>
      <c r="D90" s="197">
        <f>128</f>
        <v>128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30</f>
        <v>30</v>
      </c>
      <c r="D91" s="197">
        <f>30</f>
        <v>30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198</v>
      </c>
      <c r="D92" s="138">
        <f>SUM(D93:D95)</f>
        <v>198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104</f>
        <v>104</v>
      </c>
      <c r="D94" s="197">
        <f>104</f>
        <v>104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94</f>
        <v>94</v>
      </c>
      <c r="D95" s="197">
        <f>94</f>
        <v>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125</f>
        <v>125</v>
      </c>
      <c r="D96" s="197">
        <f>125</f>
        <v>125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2090</v>
      </c>
      <c r="D98" s="433">
        <f>D87+D82+D77+D73+D97</f>
        <v>2090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2915</v>
      </c>
      <c r="D99" s="427">
        <f>D98+D70+D68</f>
        <v>2090</v>
      </c>
      <c r="E99" s="427">
        <f>E98+E70+E68</f>
        <v>825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42765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Колев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42765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Колев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 t="s">
        <v>1001</v>
      </c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/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2017-01-30T08:47:27Z</cp:lastPrinted>
  <dcterms:created xsi:type="dcterms:W3CDTF">2006-09-16T00:00:00Z</dcterms:created>
  <dcterms:modified xsi:type="dcterms:W3CDTF">2017-01-30T14:53:05Z</dcterms:modified>
  <cp:category/>
  <cp:version/>
  <cp:contentType/>
  <cp:contentStatus/>
</cp:coreProperties>
</file>