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<sst xmlns="http://schemas.openxmlformats.org/spreadsheetml/2006/main" count="1983" uniqueCount="692">
  <si>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</si>
  <si>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</si>
  <si>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</si>
  <si>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</si>
  <si>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</si>
  <si>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</si>
  <si>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</si>
  <si>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</si>
  <si>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</si>
  <si>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</si>
  <si>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</si>
  <si>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</si>
  <si>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</si>
  <si>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</si>
  <si>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</si>
  <si>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</si>
  <si>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</si>
  <si>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</si>
  <si>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</si>
  <si>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</si>
  <si>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</si>
  <si>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</si>
  <si>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</si>
  <si>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</si>
  <si>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</si>
  <si>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</si>
  <si>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</si>
  <si>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</si>
  <si>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</si>
  <si>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</si>
  <si>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</si>
  <si>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</si>
  <si>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</si>
  <si>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</si>
  <si>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</si>
  <si>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</si>
  <si>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</si>
  <si>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</si>
  <si>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</si>
  <si>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</si>
  <si>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</si>
  <si>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</si>
  <si>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</si>
  <si>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</si>
  <si>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</si>
  <si>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</si>
  <si>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</si>
  <si>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</si>
  <si>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</si>
  <si>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</si>
  <si>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</si>
  <si>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</si>
  <si>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</si>
  <si>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</si>
  <si>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</si>
  <si>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</si>
  <si>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</si>
  <si>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</si>
  <si>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</si>
  <si>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</si>
  <si>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</si>
  <si>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</si>
  <si>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</si>
  <si>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</si>
  <si>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</si>
  <si>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</si>
  <si>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</si>
  <si>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</si>
  <si>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</si>
  <si>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</si>
  <si>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</si>
  <si>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</si>
  <si>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</si>
  <si>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</si>
  <si>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</si>
  <si>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</si>
  <si>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</si>
  <si>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</si>
  <si>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</si>
  <si>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</si>
  <si>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</si>
  <si>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</si>
  <si>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</si>
  <si>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</si>
  <si>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</si>
  <si>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</si>
  <si>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</si>
  <si>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</si>
  <si>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</si>
  <si>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</si>
  <si>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</si>
  <si>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</si>
  <si>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</si>
  <si>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</si>
  <si>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</si>
  <si>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</si>
  <si>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</si>
  <si>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</si>
  <si>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</si>
  <si>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</si>
  <si>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</si>
  <si>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</si>
  <si>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</si>
  <si>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</si>
  <si>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</si>
  <si>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</si>
  <si>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</si>
  <si>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</si>
  <si>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</si>
  <si>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</si>
  <si>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</si>
  <si>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</si>
  <si>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</si>
  <si>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</si>
  <si>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</si>
  <si>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</si>
  <si>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</si>
  <si>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</si>
  <si>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</si>
  <si>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</si>
  <si>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</si>
  <si>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</si>
  <si>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</si>
  <si>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</si>
  <si>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</si>
  <si>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</si>
  <si>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</si>
  <si>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</si>
  <si>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</si>
  <si>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</si>
  <si>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</si>
  <si>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</si>
  <si>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</si>
  <si>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</si>
  <si>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</si>
  <si>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</si>
  <si>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</si>
  <si>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</si>
  <si>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</si>
  <si>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</si>
  <si>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</si>
  <si>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</si>
  <si>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</si>
  <si>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</si>
  <si>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</si>
  <si>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</si>
  <si>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</si>
  <si>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</si>
  <si>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</si>
  <si>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</si>
  <si>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</si>
  <si>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</si>
  <si>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</si>
  <si>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</si>
  <si>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</si>
  <si>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</si>
  <si>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</si>
  <si>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</si>
  <si>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</si>
  <si>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</si>
  <si>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</si>
  <si>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</si>
  <si>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</si>
  <si>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</si>
  <si>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</si>
  <si>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</si>
  <si>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</si>
  <si>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</si>
  <si>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</si>
  <si>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</si>
  <si>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</si>
  <si>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</si>
  <si>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</si>
  <si>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</si>
  <si>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</si>
  <si>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</si>
  <si>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</si>
  <si>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</si>
  <si>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</si>
  <si>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</si>
  <si>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</si>
  <si>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</si>
  <si>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</si>
  <si>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</si>
  <si>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</si>
  <si>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</si>
  <si>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</si>
  <si>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</si>
  <si>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</si>
  <si>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</si>
  <si>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</si>
  <si>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</si>
  <si>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</si>
  <si>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</si>
  <si>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</si>
  <si>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</si>
  <si>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</si>
  <si>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</si>
  <si>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</si>
  <si>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</si>
  <si>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</si>
  <si>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</si>
  <si>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</si>
  <si>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</si>
  <si>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</si>
  <si>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</si>
  <si>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</si>
  <si>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</si>
  <si>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</si>
  <si>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</si>
  <si>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</si>
  <si>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</si>
  <si>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</si>
  <si>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</si>
  <si>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</si>
  <si>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</si>
  <si>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</si>
  <si>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</si>
  <si>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</si>
  <si>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</si>
  <si>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</si>
  <si>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</si>
  <si>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</si>
  <si>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</si>
  <si>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</si>
  <si>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</si>
  <si>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</si>
  <si>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</si>
  <si>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</si>
  <si>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</si>
  <si>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</si>
  <si>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</si>
  <si>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</si>
  <si>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</si>
  <si>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</si>
  <si>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</si>
  <si>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</si>
  <si>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</si>
  <si>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</si>
  <si>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</si>
  <si>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</si>
  <si>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</si>
  <si>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</si>
  <si>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</si>
  <si>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</si>
  <si>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</si>
  <si>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</si>
  <si>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</si>
  <si>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</si>
  <si>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</si>
  <si>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</si>
  <si>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</si>
  <si>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</si>
  <si>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</si>
  <si>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</si>
  <si>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</si>
  <si>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</si>
  <si>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</si>
  <si>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</si>
  <si>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</si>
  <si>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</si>
  <si>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</si>
  <si>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</si>
  <si>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</si>
  <si>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</si>
  <si>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</si>
  <si>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</si>
  <si>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</si>
  <si>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</si>
  <si>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</si>
  <si>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</si>
  <si>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</si>
  <si>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</si>
  <si>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</si>
  <si>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</si>
  <si>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</si>
  <si>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</si>
  <si>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</si>
  <si>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</si>
  <si>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</si>
  <si>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</si>
  <si>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</si>
  <si>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</si>
  <si>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</si>
  <si>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</si>
  <si>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</si>
  <si>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</si>
  <si>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</si>
  <si>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</si>
  <si>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</si>
  <si>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</si>
  <si>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</si>
  <si>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</si>
  <si>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</si>
  <si>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</si>
  <si>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</si>
  <si>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</si>
  <si>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</si>
  <si>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</si>
  <si>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</si>
  <si>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</si>
  <si>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</si>
  <si>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</si>
  <si>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</si>
  <si>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</si>
  <si>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</si>
  <si>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</si>
  <si>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</si>
  <si>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</si>
  <si>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</si>
  <si>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</si>
  <si>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</si>
  <si>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</si>
  <si>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</si>
  <si>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</si>
  <si>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</si>
  <si>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</si>
  <si>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</si>
  <si>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</si>
  <si>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</si>
  <si>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</si>
  <si>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</si>
  <si>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</si>
  <si>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</si>
  <si>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</si>
  <si>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</si>
  <si>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</si>
  <si>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</si>
  <si>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</si>
  <si>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</si>
  <si>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</si>
  <si>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</si>
  <si>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</si>
  <si>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</si>
  <si>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</si>
  <si>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</si>
  <si>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</si>
  <si>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</si>
  <si>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</si>
  <si>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</si>
  <si>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</si>
  <si>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</si>
  <si>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</si>
  <si>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</si>
  <si>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</si>
  <si>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</si>
  <si>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</si>
  <si>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</si>
  <si>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</si>
  <si>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</si>
  <si>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</si>
  <si>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</si>
  <si>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</si>
  <si>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</si>
  <si>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</si>
  <si>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</si>
  <si>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</si>
  <si>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</si>
  <si>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</si>
  <si>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</si>
  <si>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</si>
  <si>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</si>
  <si>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</si>
  <si>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</si>
  <si>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</si>
  <si>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</si>
  <si>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</si>
  <si>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</si>
  <si>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</si>
  <si>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</si>
  <si>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</si>
  <si>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</si>
  <si>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</si>
  <si>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</si>
  <si>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</si>
  <si>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</si>
  <si>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</si>
  <si>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</si>
  <si>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</si>
  <si>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</si>
  <si>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</si>
  <si>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</si>
  <si>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</si>
  <si>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</si>
  <si>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</si>
  <si>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</si>
  <si>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</si>
  <si>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</si>
  <si>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</si>
  <si>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</si>
  <si>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</si>
  <si>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</si>
  <si>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</si>
  <si>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</si>
  <si>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</si>
  <si>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</si>
  <si>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</si>
  <si>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</si>
  <si>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</si>
  <si>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</si>
  <si>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</si>
  <si>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</si>
  <si>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</si>
  <si>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</si>
  <si>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</si>
  <si>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</si>
  <si>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</si>
  <si>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</si>
  <si>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</si>
  <si>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</si>
  <si>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</si>
  <si>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</si>
  <si>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</si>
  <si>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</si>
  <si>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</si>
  <si>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</si>
  <si>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</si>
  <si>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</si>
  <si>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</si>
  <si>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</si>
  <si>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</si>
  <si>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</si>
  <si>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</si>
  <si>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</si>
  <si>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</si>
  <si>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</si>
  <si>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</si>
  <si>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</si>
  <si>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</si>
  <si>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</si>
  <si>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</si>
  <si>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</si>
  <si>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</si>
  <si>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</si>
  <si>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</si>
  <si>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</si>
  <si>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</si>
  <si>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</si>
  <si>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</si>
  <si>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</si>
  <si>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</si>
  <si>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</si>
  <si>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</si>
  <si>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</si>
  <si>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</si>
  <si>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</si>
  <si>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</si>
  <si>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</si>
  <si>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</si>
  <si>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</si>
  <si>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</si>
  <si>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</si>
  <si>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</si>
  <si>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</si>
  <si>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</si>
  <si>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</si>
  <si>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</si>
  <si>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</si>
  <si>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</si>
  <si>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</si>
  <si>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</si>
  <si>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</si>
  <si>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</si>
  <si>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</si>
  <si>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</si>
  <si>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</si>
  <si>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</si>
  <si>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</si>
  <si>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</si>
  <si>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</si>
  <si>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</si>
  <si>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</si>
  <si>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</si>
  <si>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</si>
  <si>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</si>
  <si>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</si>
  <si>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</si>
  <si>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</si>
  <si>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</si>
  <si>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</si>
  <si>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</si>
  <si>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</si>
  <si>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</si>
  <si>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</si>
  <si>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</si>
  <si>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</si>
  <si>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</si>
  <si>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</si>
  <si>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</si>
  <si>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</si>
  <si>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</si>
  <si>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</si>
  <si>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</si>
  <si>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</si>
  <si>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</si>
  <si>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</si>
  <si>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</si>
  <si>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</si>
  <si>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</si>
  <si>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</si>
  <si>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</si>
  <si>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</si>
  <si>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</si>
  <si>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</si>
  <si>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</si>
  <si>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</si>
  <si>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</si>
  <si>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</si>
  <si>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</si>
  <si>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</si>
  <si>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</si>
  <si>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</si>
  <si>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</si>
  <si>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</si>
  <si>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</si>
  <si>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</si>
  <si>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</si>
  <si>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</si>
  <si>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</si>
  <si>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</si>
  <si>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</si>
  <si>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</si>
  <si>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</si>
  <si>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</si>
  <si>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</si>
  <si>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</si>
  <si>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</si>
  <si>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</si>
  <si>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</si>
  <si>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</si>
  <si>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</si>
  <si>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</si>
  <si>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</si>
  <si>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</si>
  <si>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</si>
  <si>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</si>
  <si>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</si>
  <si>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</si>
  <si>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</si>
  <si>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</si>
  <si>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</si>
  <si>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</si>
  <si>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</si>
  <si>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</si>
  <si>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</si>
  <si>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</si>
  <si>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</si>
  <si>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</si>
  <si>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</si>
  <si>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</si>
  <si>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</si>
  <si>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</si>
  <si>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</si>
  <si>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</si>
  <si>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</si>
  <si>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</si>
  <si>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</si>
  <si>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</si>
  <si>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</si>
  <si>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</si>
  <si>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</si>
  <si>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</si>
  <si>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</si>
  <si>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</si>
  <si>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</si>
  <si>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</si>
  <si>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</si>
  <si>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</si>
  <si>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</si>
  <si>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</si>
  <si>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</si>
  <si>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</si>
  <si>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</si>
  <si>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</si>
  <si>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</si>
  <si>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</si>
  <si>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</si>
  <si>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</si>
  <si>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</si>
  <si>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</si>
  <si>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</si>
  <si>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</si>
  <si>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</si>
  <si>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</si>
  <si>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</si>
  <si>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</si>
  <si>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</si>
  <si>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</si>
  <si>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</si>
  <si>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</si>
  <si>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</si>
  <si>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</si>
  <si>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</si>
  <si>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</si>
  <si>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</si>
  <si>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</si>
  <si>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</si>
  <si>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</si>
  <si>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</si>
  <si>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</si>
  <si>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</si>
  <si>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</si>
  <si>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</si>
  <si>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</si>
  <si>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</si>
  <si>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</si>
  <si>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</si>
  <si>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</si>
  <si>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</si>
  <si>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</si>
  <si>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</si>
  <si>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</si>
  <si>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</si>
  <si>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</si>
  <si>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</si>
  <si>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</si>
  <si>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</si>
  <si>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</si>
  <si>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</si>
  <si>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</si>
  <si>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</si>
  <si>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</si>
  <si>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</si>
  <si>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</si>
  <si>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</si>
  <si>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</si>
  <si>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</si>
  <si>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</si>
  <si>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</si>
  <si>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</si>
  <si>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</si>
  <si>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</si>
  <si>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</si>
  <si>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</si>
  <si>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</si>
  <si>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</si>
  <si>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</si>
  <si>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</si>
  <si>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</si>
  <si>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</si>
  <si>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</si>
  <si>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</si>
  <si>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</si>
  <si>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</si>
  <si>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</si>
  <si>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</si>
  <si>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</si>
  <si>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</si>
  <si>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</si>
  <si>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</si>
  <si>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</si>
  <si>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</si>
  <si>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</si>
  <si>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</si>
  <si>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</si>
  <si>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</si>
  <si>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</si>
  <si>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</si>
  <si>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</si>
  <si>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</si>
  <si>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</si>
  <si>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</si>
  <si>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</si>
  <si>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</si>
  <si>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</si>
  <si>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</si>
  <si>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</si>
  <si>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</si>
  <si>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</si>
  <si>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</si>
  <si>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</si>
  <si>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</si>
  <si>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</si>
  <si>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</si>
  <si>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</si>
  <si>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</si>
  <si>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</si>
  <si>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</si>
  <si>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</si>
  <si>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</si>
  <si>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</si>
  <si>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</si>
  <si>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</si>
  <si>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</si>
  <si>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</si>
  <si>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</si>
  <si>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</si>
  <si>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</si>
  <si>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</si>
  <si>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ТОДОРОВ - АГРО ЕООД</t>
  </si>
  <si>
    <t>www.investor.bg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</si>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</sst>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44104</v>
      </c>
    </row>
    <row r="2" spans="1:27" ht="15.75">
      <c r="A2" s="464" t="s">
        <v>679</v>
      </c>
      <c r="B2" s="459"/>
      <c r="Z2" s="476">
        <v>2</v>
      </c>
      <c r="AA2" s="477">
        <f>IF(ISBLANK(_pdeReportingDate),"",_pdeReportingDate)</f>
        <v>44134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Иван Димитров Тодоров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44104</v>
      </c>
    </row>
    <row r="11" spans="1:2" ht="15.75">
      <c r="A11" s="7" t="s">
        <v>668</v>
      </c>
      <c r="B11" s="356">
        <v>44134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681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682</v>
      </c>
    </row>
    <row r="17" spans="1:2" ht="15.75">
      <c r="A17" s="7" t="s">
        <v>614</v>
      </c>
      <c r="B17" s="355" t="s">
        <v>683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691</v>
      </c>
    </row>
    <row r="20" spans="1:2" ht="15.75">
      <c r="A20" s="7" t="s">
        <v>5</v>
      </c>
      <c r="B20" s="355" t="s">
        <v>691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 t="s">
        <v>686</v>
      </c>
    </row>
    <row r="23" spans="1:2" ht="15.75">
      <c r="A23" s="10" t="s">
        <v>7</v>
      </c>
      <c r="B23" s="466" t="s">
        <v>687</v>
      </c>
    </row>
    <row r="24" spans="1:2" ht="15.75">
      <c r="A24" s="10" t="s">
        <v>612</v>
      </c>
      <c r="B24" s="467" t="s">
        <v>688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661</v>
      </c>
      <c r="B26" s="357" t="s">
        <v>683</v>
      </c>
    </row>
    <row r="27" spans="1:2" ht="15.75">
      <c r="A27" s="10" t="s">
        <v>662</v>
      </c>
      <c r="B27" s="355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f>50</f>
        <v>50</v>
      </c>
      <c r="D12" s="138">
        <f>50</f>
        <v>50</v>
      </c>
      <c r="E12" s="76" t="s">
        <v>25</v>
      </c>
      <c r="F12" s="80" t="s">
        <v>26</v>
      </c>
      <c r="G12" s="138">
        <f>3400</f>
        <v>3400</v>
      </c>
      <c r="H12" s="137">
        <f>3400</f>
        <v>3400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f>3400</f>
        <v>3400</v>
      </c>
      <c r="H13" s="137">
        <f>3400</f>
        <v>3400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3</f>
        <v>3</v>
      </c>
      <c r="D17" s="138">
        <f>7</f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3400</v>
      </c>
      <c r="H18" s="388">
        <f>H12+H15+H16+H17</f>
        <v>3400</v>
      </c>
    </row>
    <row r="19" spans="1:8" ht="15.75">
      <c r="A19" s="76" t="s">
        <v>49</v>
      </c>
      <c r="B19" s="78" t="s">
        <v>50</v>
      </c>
      <c r="C19" s="138">
        <f>36</f>
        <v>36</v>
      </c>
      <c r="D19" s="138">
        <f>36</f>
        <v>36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89</v>
      </c>
      <c r="D20" s="376">
        <f>SUM(D12:D19)</f>
        <v>93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>
        <f>2</f>
        <v>2</v>
      </c>
      <c r="H21" s="137">
        <f>2</f>
        <v>2</v>
      </c>
    </row>
    <row r="22" spans="1:13" ht="15.75">
      <c r="A22" s="87" t="s">
        <v>60</v>
      </c>
      <c r="B22" s="84" t="s">
        <v>61</v>
      </c>
      <c r="C22" s="267"/>
      <c r="D22" s="267"/>
      <c r="E22" s="142" t="s">
        <v>62</v>
      </c>
      <c r="F22" s="80" t="s">
        <v>63</v>
      </c>
      <c r="G22" s="391">
        <f>SUM(G23:G25)</f>
        <v>498</v>
      </c>
      <c r="H22" s="392">
        <f>SUM(H23:H25)</f>
        <v>498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>
        <f>498</f>
        <v>498</v>
      </c>
      <c r="H24" s="137">
        <f>498</f>
        <v>498</v>
      </c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500</v>
      </c>
      <c r="H26" s="376">
        <f>H20+H21+H22</f>
        <v>500</v>
      </c>
      <c r="M26" s="85"/>
    </row>
    <row r="27" spans="1:8" ht="15.75">
      <c r="A27" s="76" t="s">
        <v>79</v>
      </c>
      <c r="B27" s="78" t="s">
        <v>80</v>
      </c>
      <c r="C27" s="138">
        <f>1</f>
        <v>1</v>
      </c>
      <c r="D27" s="138">
        <f>2</f>
        <v>2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-3626</v>
      </c>
      <c r="H28" s="374">
        <f>SUM(H29:H31)</f>
        <v>-3664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896</f>
        <v>896</v>
      </c>
      <c r="H29" s="138">
        <f>858</f>
        <v>858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f>-4522</f>
        <v>-4522</v>
      </c>
      <c r="H30" s="138">
        <f>-4522</f>
        <v>-4522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f>38</f>
        <v>38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-199</f>
        <v>-199</v>
      </c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-3825</v>
      </c>
      <c r="H34" s="376">
        <f>H28+H32+H33</f>
        <v>-3626</v>
      </c>
    </row>
    <row r="35" spans="1:8" ht="15.75">
      <c r="A35" s="76" t="s">
        <v>106</v>
      </c>
      <c r="B35" s="81" t="s">
        <v>107</v>
      </c>
      <c r="C35" s="373">
        <f>SUM(C36:C39)</f>
        <v>1127</v>
      </c>
      <c r="D35" s="374">
        <f>SUM(D36:D39)</f>
        <v>1127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f>1127</f>
        <v>1127</v>
      </c>
      <c r="D36" s="138">
        <f>1127</f>
        <v>1127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75</v>
      </c>
      <c r="H37" s="378">
        <f>H26+H18+H34</f>
        <v>274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5">
        <f>C35+C40+C45</f>
        <v>1127</v>
      </c>
      <c r="D46" s="376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7">
        <f>399</f>
        <v>399</v>
      </c>
      <c r="D48" s="137">
        <f>399</f>
        <v>399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11</f>
        <v>11</v>
      </c>
      <c r="H49" s="137">
        <f>11</f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</v>
      </c>
      <c r="H50" s="374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399</v>
      </c>
      <c r="D52" s="376">
        <f>SUM(D48:D51)</f>
        <v>399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f>49</f>
        <v>49</v>
      </c>
      <c r="D55" s="268">
        <f>49</f>
        <v>49</v>
      </c>
      <c r="E55" s="76" t="s">
        <v>168</v>
      </c>
      <c r="F55" s="82" t="s">
        <v>169</v>
      </c>
      <c r="G55" s="138"/>
      <c r="H55" s="138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1665</v>
      </c>
      <c r="D56" s="380">
        <f>D20+D21+D22+D28+D33+D46+D52+D54+D55</f>
        <v>1670</v>
      </c>
      <c r="E56" s="87" t="s">
        <v>557</v>
      </c>
      <c r="F56" s="86" t="s">
        <v>172</v>
      </c>
      <c r="G56" s="377">
        <f>G50+G52+G53+G54+G55</f>
        <v>11</v>
      </c>
      <c r="H56" s="378">
        <f>H50+H52+H53+H54+H55</f>
        <v>11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f>85</f>
        <v>85</v>
      </c>
      <c r="D59" s="138">
        <f>113</f>
        <v>113</v>
      </c>
      <c r="E59" s="142" t="s">
        <v>180</v>
      </c>
      <c r="F59" s="276" t="s">
        <v>181</v>
      </c>
      <c r="G59" s="138"/>
      <c r="H59" s="138"/>
    </row>
    <row r="60" spans="1:13" ht="15.75">
      <c r="A60" s="76" t="s">
        <v>178</v>
      </c>
      <c r="B60" s="78" t="s">
        <v>179</v>
      </c>
      <c r="C60" s="138">
        <f>13</f>
        <v>13</v>
      </c>
      <c r="D60" s="138">
        <f>50</f>
        <v>50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10</f>
        <v>10</v>
      </c>
      <c r="D61" s="138">
        <f>14</f>
        <v>14</v>
      </c>
      <c r="E61" s="141" t="s">
        <v>188</v>
      </c>
      <c r="F61" s="80" t="s">
        <v>189</v>
      </c>
      <c r="G61" s="373">
        <f>SUM(G62:G68)</f>
        <v>2150</v>
      </c>
      <c r="H61" s="374">
        <f>SUM(H62:H68)</f>
        <v>2020</v>
      </c>
    </row>
    <row r="62" spans="1:13" ht="15.75">
      <c r="A62" s="76" t="s">
        <v>186</v>
      </c>
      <c r="B62" s="81" t="s">
        <v>187</v>
      </c>
      <c r="C62" s="138">
        <f>201</f>
        <v>201</v>
      </c>
      <c r="D62" s="138">
        <f>189</f>
        <v>189</v>
      </c>
      <c r="E62" s="141" t="s">
        <v>192</v>
      </c>
      <c r="F62" s="80" t="s">
        <v>193</v>
      </c>
      <c r="G62" s="138">
        <f>307+75</f>
        <v>382</v>
      </c>
      <c r="H62" s="138">
        <v>384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18+3+82+15+33+52+12</f>
        <v>215</v>
      </c>
      <c r="H63" s="138">
        <v>194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892+2</f>
        <v>894</v>
      </c>
      <c r="H64" s="138">
        <v>888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309</v>
      </c>
      <c r="D65" s="376">
        <f>SUM(D59:D64)</f>
        <v>366</v>
      </c>
      <c r="E65" s="76" t="s">
        <v>201</v>
      </c>
      <c r="F65" s="80" t="s">
        <v>202</v>
      </c>
      <c r="G65" s="138">
        <f>84</f>
        <v>84</v>
      </c>
      <c r="H65" s="138">
        <v>84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18</f>
        <v>18</v>
      </c>
      <c r="H66" s="138">
        <v>26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f>106+18+42+8+24+5</f>
        <v>203</v>
      </c>
      <c r="H67" s="138">
        <v>137</v>
      </c>
    </row>
    <row r="68" spans="1:8" ht="15.75">
      <c r="A68" s="76" t="s">
        <v>206</v>
      </c>
      <c r="B68" s="78" t="s">
        <v>207</v>
      </c>
      <c r="C68" s="138">
        <f>593-451+6+8+1+53</f>
        <v>210</v>
      </c>
      <c r="D68" s="138">
        <f>218</f>
        <v>218</v>
      </c>
      <c r="E68" s="76" t="s">
        <v>212</v>
      </c>
      <c r="F68" s="80" t="s">
        <v>213</v>
      </c>
      <c r="G68" s="138">
        <f>63+20+159+32+58+12+9+1</f>
        <v>354</v>
      </c>
      <c r="H68" s="138">
        <v>307</v>
      </c>
    </row>
    <row r="69" spans="1:8" ht="15.75">
      <c r="A69" s="76" t="s">
        <v>210</v>
      </c>
      <c r="B69" s="78" t="s">
        <v>211</v>
      </c>
      <c r="C69" s="138">
        <f>50-6+3+1</f>
        <v>48</v>
      </c>
      <c r="D69" s="138">
        <f>43</f>
        <v>43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>
        <f>2</f>
        <v>2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5">
        <f>G59+G60+G61+G69+G70</f>
        <v>2150</v>
      </c>
      <c r="H71" s="376">
        <f>H59+H60+H61+H69+H70</f>
        <v>2020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258</v>
      </c>
      <c r="D76" s="376">
        <f>SUM(D68:D75)</f>
        <v>263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2150</v>
      </c>
      <c r="H79" s="378">
        <f>H71+H73+H75+H77</f>
        <v>2020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8">
        <f>5</f>
        <v>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4</f>
        <v>4</v>
      </c>
      <c r="D89" s="138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</v>
      </c>
      <c r="D92" s="376">
        <f>SUM(D88:D91)</f>
        <v>5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8"/>
      <c r="D93" s="269">
        <f>1</f>
        <v>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571</v>
      </c>
      <c r="D94" s="380">
        <f>D65+D76+D85+D92+D93</f>
        <v>635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2236</v>
      </c>
      <c r="D95" s="382">
        <f>D94+D56</f>
        <v>2305</v>
      </c>
      <c r="E95" s="169" t="s">
        <v>635</v>
      </c>
      <c r="F95" s="279" t="s">
        <v>268</v>
      </c>
      <c r="G95" s="381">
        <f>G37+G40+G56+G79</f>
        <v>2236</v>
      </c>
      <c r="H95" s="382">
        <f>H37+H40+H56+H79</f>
        <v>2305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79">
        <f>pdeReportingDate</f>
        <v>44134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Иван Димитров Тодоров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683</v>
      </c>
      <c r="C103" s="478"/>
      <c r="D103" s="478"/>
      <c r="E103" s="478"/>
      <c r="M103" s="85"/>
    </row>
    <row r="104" spans="1:5" ht="21.75" customHeight="1">
      <c r="A104" s="473"/>
      <c r="B104" s="478"/>
      <c r="C104" s="478"/>
      <c r="D104" s="478"/>
      <c r="E104" s="478"/>
    </row>
    <row r="105" spans="1:13" ht="21.75" customHeight="1">
      <c r="A105" s="473"/>
      <c r="B105" s="478"/>
      <c r="C105" s="478"/>
      <c r="D105" s="478"/>
      <c r="E105" s="478"/>
      <c r="M105" s="85"/>
    </row>
    <row r="106" spans="1:5" ht="21.75" customHeight="1">
      <c r="A106" s="473"/>
      <c r="B106" s="478"/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11</f>
        <v>11</v>
      </c>
      <c r="D12" s="256">
        <f>116</f>
        <v>116</v>
      </c>
      <c r="E12" s="135" t="s">
        <v>277</v>
      </c>
      <c r="F12" s="180" t="s">
        <v>278</v>
      </c>
      <c r="G12" s="256">
        <f>47</f>
        <v>47</v>
      </c>
      <c r="H12" s="256">
        <f>494</f>
        <v>494</v>
      </c>
    </row>
    <row r="13" spans="1:8" ht="15.75">
      <c r="A13" s="135" t="s">
        <v>279</v>
      </c>
      <c r="B13" s="131" t="s">
        <v>280</v>
      </c>
      <c r="C13" s="256">
        <f>77</f>
        <v>77</v>
      </c>
      <c r="D13" s="256">
        <f>204</f>
        <v>204</v>
      </c>
      <c r="E13" s="135" t="s">
        <v>281</v>
      </c>
      <c r="F13" s="180" t="s">
        <v>282</v>
      </c>
      <c r="G13" s="256">
        <f>34</f>
        <v>34</v>
      </c>
      <c r="H13" s="256">
        <f>36</f>
        <v>36</v>
      </c>
    </row>
    <row r="14" spans="1:8" ht="15.75">
      <c r="A14" s="135" t="s">
        <v>283</v>
      </c>
      <c r="B14" s="131" t="s">
        <v>284</v>
      </c>
      <c r="C14" s="256">
        <f>5</f>
        <v>5</v>
      </c>
      <c r="D14" s="256">
        <f>12</f>
        <v>12</v>
      </c>
      <c r="E14" s="185" t="s">
        <v>285</v>
      </c>
      <c r="F14" s="180" t="s">
        <v>286</v>
      </c>
      <c r="G14" s="256">
        <f>153</f>
        <v>153</v>
      </c>
      <c r="H14" s="256">
        <f>100</f>
        <v>100</v>
      </c>
    </row>
    <row r="15" spans="1:8" ht="15.75">
      <c r="A15" s="135" t="s">
        <v>287</v>
      </c>
      <c r="B15" s="131" t="s">
        <v>288</v>
      </c>
      <c r="C15" s="256">
        <f>255</f>
        <v>255</v>
      </c>
      <c r="D15" s="256">
        <f>295</f>
        <v>295</v>
      </c>
      <c r="E15" s="185" t="s">
        <v>79</v>
      </c>
      <c r="F15" s="180" t="s">
        <v>289</v>
      </c>
      <c r="G15" s="256">
        <f>27</f>
        <v>27</v>
      </c>
      <c r="H15" s="256">
        <f>1537</f>
        <v>1537</v>
      </c>
    </row>
    <row r="16" spans="1:8" ht="15.75">
      <c r="A16" s="135" t="s">
        <v>290</v>
      </c>
      <c r="B16" s="131" t="s">
        <v>291</v>
      </c>
      <c r="C16" s="256">
        <f>40</f>
        <v>40</v>
      </c>
      <c r="D16" s="256">
        <f>47</f>
        <v>47</v>
      </c>
      <c r="E16" s="176" t="s">
        <v>52</v>
      </c>
      <c r="F16" s="204" t="s">
        <v>292</v>
      </c>
      <c r="G16" s="406">
        <f>SUM(G12:G15)</f>
        <v>261</v>
      </c>
      <c r="H16" s="407">
        <f>SUM(H12:H15)</f>
        <v>2167</v>
      </c>
    </row>
    <row r="17" spans="1:8" ht="31.5">
      <c r="A17" s="135" t="s">
        <v>293</v>
      </c>
      <c r="B17" s="131" t="s">
        <v>294</v>
      </c>
      <c r="C17" s="256">
        <f>23</f>
        <v>23</v>
      </c>
      <c r="D17" s="256">
        <f>1283</f>
        <v>1283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13</f>
        <v>13</v>
      </c>
      <c r="D18" s="256">
        <f>197</f>
        <v>197</v>
      </c>
      <c r="E18" s="174" t="s">
        <v>297</v>
      </c>
      <c r="F18" s="178" t="s">
        <v>298</v>
      </c>
      <c r="G18" s="417"/>
      <c r="H18" s="417">
        <f>113</f>
        <v>113</v>
      </c>
    </row>
    <row r="19" spans="1:8" ht="15.75">
      <c r="A19" s="135" t="s">
        <v>299</v>
      </c>
      <c r="B19" s="131" t="s">
        <v>300</v>
      </c>
      <c r="C19" s="256">
        <f>35</f>
        <v>35</v>
      </c>
      <c r="D19" s="256">
        <f>16</f>
        <v>16</v>
      </c>
      <c r="E19" s="135" t="s">
        <v>301</v>
      </c>
      <c r="F19" s="177" t="s">
        <v>302</v>
      </c>
      <c r="G19" s="256"/>
      <c r="H19" s="256">
        <f>113</f>
        <v>113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459</v>
      </c>
      <c r="D22" s="407">
        <f>SUM(D12:D18)+D19</f>
        <v>2170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>
        <f>33</f>
        <v>33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f>1</f>
        <v>1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33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460</v>
      </c>
      <c r="D31" s="413">
        <f>D29+D22</f>
        <v>2203</v>
      </c>
      <c r="E31" s="191" t="s">
        <v>548</v>
      </c>
      <c r="F31" s="206" t="s">
        <v>331</v>
      </c>
      <c r="G31" s="193">
        <f>G16+G18+G27</f>
        <v>261</v>
      </c>
      <c r="H31" s="194">
        <f>H16+H18+H27</f>
        <v>2280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77</v>
      </c>
      <c r="E33" s="173" t="s">
        <v>334</v>
      </c>
      <c r="F33" s="178" t="s">
        <v>335</v>
      </c>
      <c r="G33" s="406">
        <f>IF((C31-G31)&gt;0,C31-G31,0)</f>
        <v>199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460</v>
      </c>
      <c r="D36" s="415">
        <f>D31-D34+D35</f>
        <v>2203</v>
      </c>
      <c r="E36" s="202" t="s">
        <v>346</v>
      </c>
      <c r="F36" s="196" t="s">
        <v>347</v>
      </c>
      <c r="G36" s="207">
        <f>G35-G34+G31</f>
        <v>261</v>
      </c>
      <c r="H36" s="208">
        <f>H35-H34+H31</f>
        <v>2280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77</v>
      </c>
      <c r="E37" s="201" t="s">
        <v>350</v>
      </c>
      <c r="F37" s="206" t="s">
        <v>351</v>
      </c>
      <c r="G37" s="193">
        <f>IF((C36-G36)&gt;0,C36-G36,0)</f>
        <v>199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77</v>
      </c>
      <c r="E42" s="187" t="s">
        <v>362</v>
      </c>
      <c r="F42" s="136" t="s">
        <v>363</v>
      </c>
      <c r="G42" s="181">
        <f>IF(G37&gt;0,IF(C38+G37&lt;0,0,C38+G37),IF(C37-C38&lt;0,C38-C37,0))</f>
        <v>199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77</v>
      </c>
      <c r="E44" s="202" t="s">
        <v>369</v>
      </c>
      <c r="F44" s="209" t="s">
        <v>370</v>
      </c>
      <c r="G44" s="207">
        <f>IF(C42=0,IF(G42-G43&gt;0,G42-G43+C43,0),IF(C42-C43&lt;0,C43-C42+G43,0))</f>
        <v>199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460</v>
      </c>
      <c r="D45" s="409">
        <f>D36+D38+D42</f>
        <v>2280</v>
      </c>
      <c r="E45" s="210" t="s">
        <v>373</v>
      </c>
      <c r="F45" s="212" t="s">
        <v>374</v>
      </c>
      <c r="G45" s="408">
        <f>G42+G36</f>
        <v>460</v>
      </c>
      <c r="H45" s="409">
        <f>H42+H36</f>
        <v>2280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79">
        <f>pdeReportingDate</f>
        <v>44134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Иван Димитров Тодоров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683</v>
      </c>
      <c r="C55" s="478"/>
      <c r="D55" s="478"/>
      <c r="E55" s="478"/>
      <c r="F55" s="352"/>
      <c r="G55" s="41"/>
      <c r="H55" s="39"/>
    </row>
    <row r="56" spans="1:8" ht="15.75" customHeight="1">
      <c r="A56" s="473"/>
      <c r="B56" s="478"/>
      <c r="C56" s="478"/>
      <c r="D56" s="478"/>
      <c r="E56" s="478"/>
      <c r="F56" s="352"/>
      <c r="G56" s="41"/>
      <c r="H56" s="39"/>
    </row>
    <row r="57" spans="1:8" ht="15.75" customHeight="1">
      <c r="A57" s="473"/>
      <c r="B57" s="478"/>
      <c r="C57" s="478"/>
      <c r="D57" s="478"/>
      <c r="E57" s="478"/>
      <c r="F57" s="352"/>
      <c r="G57" s="41"/>
      <c r="H57" s="39"/>
    </row>
    <row r="58" spans="1:8" ht="15.75" customHeight="1">
      <c r="A58" s="473"/>
      <c r="B58" s="478"/>
      <c r="C58" s="478"/>
      <c r="D58" s="478"/>
      <c r="E58" s="478"/>
      <c r="F58" s="352"/>
      <c r="G58" s="41"/>
      <c r="H58" s="39"/>
    </row>
    <row r="59" spans="1:8" ht="15.75">
      <c r="A59" s="473"/>
      <c r="B59" s="478"/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430</f>
        <v>430</v>
      </c>
      <c r="D11" s="138">
        <f>617</f>
        <v>617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-222</f>
        <v>-222</v>
      </c>
      <c r="D12" s="138">
        <f>-366</f>
        <v>-366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-214</f>
        <v>-214</v>
      </c>
      <c r="D14" s="138">
        <f>-264</f>
        <v>-264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f>-31</f>
        <v>-31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-3</f>
        <v>-3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f>-1</f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-9</v>
      </c>
      <c r="D21" s="436">
        <f>SUM(D11:D20)</f>
        <v>-45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f>8</f>
        <v>8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8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-45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5</f>
        <v>5</v>
      </c>
      <c r="D45" s="249">
        <f>70</f>
        <v>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25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4</f>
        <v>4</v>
      </c>
      <c r="D47" s="238">
        <f>25</f>
        <v>25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44134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Иван Димитров Тодоров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683</v>
      </c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473"/>
      <c r="B62" s="478"/>
      <c r="C62" s="478"/>
      <c r="D62" s="478"/>
      <c r="E62" s="478"/>
      <c r="F62" s="352"/>
      <c r="G62" s="41"/>
      <c r="H62" s="39"/>
    </row>
    <row r="63" spans="1:8" ht="15.75">
      <c r="A63" s="473"/>
      <c r="B63" s="478"/>
      <c r="C63" s="478"/>
      <c r="D63" s="478"/>
      <c r="E63" s="478"/>
      <c r="F63" s="352"/>
      <c r="G63" s="41"/>
      <c r="H63" s="39"/>
    </row>
    <row r="64" spans="1:8" ht="15.75">
      <c r="A64" s="473"/>
      <c r="B64" s="478"/>
      <c r="C64" s="478"/>
      <c r="D64" s="478"/>
      <c r="E64" s="478"/>
      <c r="F64" s="352"/>
      <c r="G64" s="41"/>
      <c r="H64" s="39"/>
    </row>
    <row r="65" spans="1:8" ht="15.75">
      <c r="A65" s="473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3400</v>
      </c>
      <c r="D13" s="362">
        <f>'1-Баланс'!H20</f>
        <v>0</v>
      </c>
      <c r="E13" s="362">
        <f>'1-Баланс'!H21</f>
        <v>2</v>
      </c>
      <c r="F13" s="362">
        <f>'1-Баланс'!H23</f>
        <v>0</v>
      </c>
      <c r="G13" s="362">
        <f>'1-Баланс'!H24</f>
        <v>498</v>
      </c>
      <c r="H13" s="363"/>
      <c r="I13" s="362">
        <f>'1-Баланс'!H29+'1-Баланс'!H32</f>
        <v>896</v>
      </c>
      <c r="J13" s="362">
        <f>'1-Баланс'!H30+'1-Баланс'!H33</f>
        <v>-4522</v>
      </c>
      <c r="K13" s="363"/>
      <c r="L13" s="362">
        <f>SUM(C13:K13)</f>
        <v>274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7" t="s">
        <v>473</v>
      </c>
      <c r="B16" s="328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5" t="s">
        <v>475</v>
      </c>
      <c r="B17" s="326" t="s">
        <v>476</v>
      </c>
      <c r="C17" s="430">
        <f>C13+C14</f>
        <v>3400</v>
      </c>
      <c r="D17" s="430">
        <f aca="true" t="shared" si="2" ref="D17:M17">D13+D14</f>
        <v>0</v>
      </c>
      <c r="E17" s="430">
        <f t="shared" si="2"/>
        <v>2</v>
      </c>
      <c r="F17" s="430">
        <f t="shared" si="2"/>
        <v>0</v>
      </c>
      <c r="G17" s="430">
        <f t="shared" si="2"/>
        <v>498</v>
      </c>
      <c r="H17" s="430">
        <f t="shared" si="2"/>
        <v>0</v>
      </c>
      <c r="I17" s="430">
        <f t="shared" si="2"/>
        <v>896</v>
      </c>
      <c r="J17" s="430">
        <f t="shared" si="2"/>
        <v>-4522</v>
      </c>
      <c r="K17" s="430">
        <f t="shared" si="2"/>
        <v>0</v>
      </c>
      <c r="L17" s="362">
        <f t="shared" si="1"/>
        <v>274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-199</v>
      </c>
      <c r="K18" s="363"/>
      <c r="L18" s="362">
        <f t="shared" si="1"/>
        <v>-199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29" t="s">
        <v>481</v>
      </c>
      <c r="B20" s="330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29" t="s">
        <v>483</v>
      </c>
      <c r="B21" s="330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7" t="s">
        <v>485</v>
      </c>
      <c r="B22" s="328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7" t="s">
        <v>491</v>
      </c>
      <c r="B25" s="328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7" t="s">
        <v>491</v>
      </c>
      <c r="B28" s="328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7" t="s">
        <v>497</v>
      </c>
      <c r="B29" s="328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7" t="s">
        <v>499</v>
      </c>
      <c r="B30" s="328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3400</v>
      </c>
      <c r="D31" s="430">
        <f aca="true" t="shared" si="6" ref="D31:M31">D19+D22+D23+D26+D30+D29+D17+D18</f>
        <v>0</v>
      </c>
      <c r="E31" s="430">
        <f t="shared" si="6"/>
        <v>2</v>
      </c>
      <c r="F31" s="430">
        <f t="shared" si="6"/>
        <v>0</v>
      </c>
      <c r="G31" s="430">
        <f t="shared" si="6"/>
        <v>498</v>
      </c>
      <c r="H31" s="430">
        <f t="shared" si="6"/>
        <v>0</v>
      </c>
      <c r="I31" s="430">
        <f t="shared" si="6"/>
        <v>896</v>
      </c>
      <c r="J31" s="430">
        <f t="shared" si="6"/>
        <v>-4721</v>
      </c>
      <c r="K31" s="430">
        <f t="shared" si="6"/>
        <v>0</v>
      </c>
      <c r="L31" s="362">
        <f t="shared" si="1"/>
        <v>75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1" t="s">
        <v>505</v>
      </c>
      <c r="B33" s="332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3400</v>
      </c>
      <c r="D34" s="365">
        <f t="shared" si="7"/>
        <v>0</v>
      </c>
      <c r="E34" s="365">
        <f t="shared" si="7"/>
        <v>2</v>
      </c>
      <c r="F34" s="365">
        <f t="shared" si="7"/>
        <v>0</v>
      </c>
      <c r="G34" s="365">
        <f t="shared" si="7"/>
        <v>498</v>
      </c>
      <c r="H34" s="365">
        <f t="shared" si="7"/>
        <v>0</v>
      </c>
      <c r="I34" s="365">
        <f t="shared" si="7"/>
        <v>896</v>
      </c>
      <c r="J34" s="365">
        <f t="shared" si="7"/>
        <v>-4721</v>
      </c>
      <c r="K34" s="365">
        <f t="shared" si="7"/>
        <v>0</v>
      </c>
      <c r="L34" s="428">
        <f t="shared" si="1"/>
        <v>75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79">
        <f>pdeReportingDate</f>
        <v>44134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Иван Димитров Тодоров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683</v>
      </c>
      <c r="C43" s="478"/>
      <c r="D43" s="478"/>
      <c r="E43" s="478"/>
      <c r="F43" s="352"/>
      <c r="G43" s="41"/>
      <c r="H43" s="39"/>
      <c r="M43" s="110"/>
    </row>
    <row r="44" spans="1:13" ht="15.75">
      <c r="A44" s="473"/>
      <c r="B44" s="478"/>
      <c r="C44" s="478"/>
      <c r="D44" s="478"/>
      <c r="E44" s="478"/>
      <c r="F44" s="352"/>
      <c r="G44" s="41"/>
      <c r="H44" s="39"/>
      <c r="M44" s="110"/>
    </row>
    <row r="45" spans="1:13" ht="15.75">
      <c r="A45" s="473"/>
      <c r="B45" s="478"/>
      <c r="C45" s="478"/>
      <c r="D45" s="478"/>
      <c r="E45" s="478"/>
      <c r="F45" s="352"/>
      <c r="G45" s="41"/>
      <c r="H45" s="39"/>
      <c r="M45" s="110"/>
    </row>
    <row r="46" spans="1:13" ht="15.75">
      <c r="A46" s="473"/>
      <c r="B46" s="478"/>
      <c r="C46" s="478"/>
      <c r="D46" s="478"/>
      <c r="E46" s="478"/>
      <c r="F46" s="352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2"/>
      <c r="D10" s="262"/>
      <c r="E10" s="262"/>
      <c r="F10" s="262"/>
    </row>
    <row r="11" spans="1:6" ht="15.75">
      <c r="A11" s="294" t="s">
        <v>518</v>
      </c>
      <c r="B11" s="289"/>
      <c r="C11" s="262"/>
      <c r="D11" s="262"/>
      <c r="E11" s="262"/>
      <c r="F11" s="262"/>
    </row>
    <row r="12" spans="1:6" ht="15.75">
      <c r="A12" s="456" t="s">
        <v>689</v>
      </c>
      <c r="B12" s="457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5" t="s">
        <v>510</v>
      </c>
      <c r="B27" s="296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4" t="s">
        <v>520</v>
      </c>
      <c r="B28" s="296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5" t="s">
        <v>512</v>
      </c>
      <c r="B44" s="296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4" t="s">
        <v>522</v>
      </c>
      <c r="B45" s="297"/>
      <c r="C45" s="298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5" t="s">
        <v>523</v>
      </c>
      <c r="B61" s="296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2" t="s">
        <v>525</v>
      </c>
      <c r="B62" s="296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5" t="s">
        <v>511</v>
      </c>
      <c r="B78" s="296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299" t="s">
        <v>527</v>
      </c>
      <c r="B79" s="296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2" t="s">
        <v>529</v>
      </c>
      <c r="B80" s="296"/>
      <c r="C80" s="261"/>
      <c r="D80" s="261"/>
      <c r="E80" s="261"/>
      <c r="F80" s="261"/>
    </row>
    <row r="81" spans="1:6" ht="15.75">
      <c r="A81" s="294" t="s">
        <v>518</v>
      </c>
      <c r="B81" s="300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5" t="s">
        <v>510</v>
      </c>
      <c r="B97" s="296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4" t="s">
        <v>520</v>
      </c>
      <c r="B98" s="301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5" t="s">
        <v>512</v>
      </c>
      <c r="B114" s="296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4" t="s">
        <v>522</v>
      </c>
      <c r="B115" s="296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5" t="s">
        <v>523</v>
      </c>
      <c r="B131" s="296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2" t="s">
        <v>525</v>
      </c>
      <c r="B132" s="296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5" t="s">
        <v>511</v>
      </c>
      <c r="B148" s="296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299" t="s">
        <v>534</v>
      </c>
      <c r="B149" s="296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79">
        <f>pdeReportingDate</f>
        <v>44134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Иван Димитров Тодоров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683</v>
      </c>
      <c r="C156" s="478"/>
      <c r="D156" s="478"/>
      <c r="E156" s="478"/>
      <c r="F156" s="352"/>
      <c r="G156" s="41"/>
      <c r="H156" s="39"/>
    </row>
    <row r="157" spans="1:8" ht="15.75">
      <c r="A157" s="473"/>
      <c r="B157" s="478"/>
      <c r="C157" s="478"/>
      <c r="D157" s="478"/>
      <c r="E157" s="478"/>
      <c r="F157" s="352"/>
      <c r="G157" s="41"/>
      <c r="H157" s="39"/>
    </row>
    <row r="158" spans="1:8" ht="15.75">
      <c r="A158" s="473"/>
      <c r="B158" s="478"/>
      <c r="C158" s="478"/>
      <c r="D158" s="478"/>
      <c r="E158" s="478"/>
      <c r="F158" s="352"/>
      <c r="G158" s="41"/>
      <c r="H158" s="39"/>
    </row>
    <row r="159" spans="1:8" ht="15.75">
      <c r="A159" s="473"/>
      <c r="B159" s="478"/>
      <c r="C159" s="478"/>
      <c r="D159" s="478"/>
      <c r="E159" s="478"/>
      <c r="F159" s="352"/>
      <c r="G159" s="41"/>
      <c r="H159" s="39"/>
    </row>
    <row r="160" spans="1:8" ht="15.75">
      <c r="A160" s="473"/>
      <c r="B160" s="478"/>
      <c r="C160" s="478"/>
      <c r="D160" s="478"/>
      <c r="E160" s="478"/>
      <c r="F160" s="352"/>
      <c r="G160" s="41"/>
      <c r="H160" s="39"/>
    </row>
    <row r="161" spans="1:8" ht="15.75">
      <c r="A161" s="473"/>
      <c r="B161" s="478"/>
      <c r="C161" s="478"/>
      <c r="D161" s="478"/>
      <c r="E161" s="478"/>
      <c r="F161" s="352"/>
      <c r="G161" s="41"/>
      <c r="H161" s="39"/>
    </row>
    <row r="162" spans="1:8" ht="15.75">
      <c r="A162" s="473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ТОДОРОВ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30.09.2020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2236</v>
      </c>
      <c r="D6" s="452">
        <f aca="true" t="shared" si="0" ref="D6:D15">C6-E6</f>
        <v>0</v>
      </c>
      <c r="E6" s="451">
        <f>'1-Баланс'!G95</f>
        <v>2236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75</v>
      </c>
      <c r="D7" s="452">
        <f t="shared" si="0"/>
        <v>-3325</v>
      </c>
      <c r="E7" s="451">
        <f>'1-Баланс'!G18</f>
        <v>3400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-199</v>
      </c>
      <c r="D8" s="452">
        <f t="shared" si="0"/>
        <v>0</v>
      </c>
      <c r="E8" s="451">
        <f>ABS('2-Отчет за доходите'!C44)-ABS('2-Отчет за доходите'!G44)</f>
        <v>-199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5</v>
      </c>
      <c r="D9" s="452">
        <f t="shared" si="0"/>
        <v>0</v>
      </c>
      <c r="E9" s="451">
        <f>'3-Отчет за паричния поток'!C45</f>
        <v>5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4</v>
      </c>
      <c r="D10" s="452">
        <f t="shared" si="0"/>
        <v>0</v>
      </c>
      <c r="E10" s="451">
        <f>'3-Отчет за паричния поток'!C46</f>
        <v>4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75</v>
      </c>
      <c r="D11" s="452">
        <f t="shared" si="0"/>
        <v>0</v>
      </c>
      <c r="E11" s="451">
        <f>'4-Отчет за собствения капитал'!L34</f>
        <v>75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1127</v>
      </c>
      <c r="D12" s="452">
        <f t="shared" si="0"/>
        <v>0</v>
      </c>
      <c r="E12" s="451">
        <f>'Справка 5'!C27+'Справка 5'!C97</f>
        <v>1127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-0.7624521072796935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-2.6533333333333333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-0.0920869967607589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-0.08899821109123435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0.5673913043478261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0.26558139534883723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0.12186046511627907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0.0018604651162790699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0.0018604651162790699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0.6541353383458647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0.1167262969588551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0.12790697674418605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28.813333333333333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0.9664579606440072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0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</v>
      </c>
    </row>
    <row r="23" spans="1:4" ht="31.5">
      <c r="A23" s="370">
        <v>17</v>
      </c>
      <c r="B23" s="368" t="s">
        <v>670</v>
      </c>
      <c r="C23" s="369" t="s">
        <v>671</v>
      </c>
      <c r="D23" s="424">
        <f>(D21+'2-Отчет за доходите'!C14)/'2-Отчет за доходите'!G31</f>
        <v>0.019157088122605363</v>
      </c>
    </row>
    <row r="24" spans="1:4" ht="31.5">
      <c r="A24" s="370">
        <v>18</v>
      </c>
      <c r="B24" s="368" t="s">
        <v>672</v>
      </c>
      <c r="C24" s="369" t="s">
        <v>673</v>
      </c>
      <c r="D24" s="424">
        <f>('1-Баланс'!G56+'1-Баланс'!G79)/(D21+'2-Отчет за доходите'!C14)</f>
        <v>432.2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59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50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59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59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59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59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59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59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59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59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89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59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59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59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59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59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59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59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59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59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59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59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59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59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59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59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59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59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59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59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59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59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59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59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399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59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59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59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59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399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59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59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49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59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1665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59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85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59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59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10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59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201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59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59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59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309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59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210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59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48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59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59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59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59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59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59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59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258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59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59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59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59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59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59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59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59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59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59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59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59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59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59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571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59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2236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59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59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59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59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59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59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59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59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59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59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59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59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59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59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500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59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-3626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59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896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59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-4522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59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59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59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-199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59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-3825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59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75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59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59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59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59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59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59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59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59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59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59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59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59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59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59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59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59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2150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59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382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59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215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59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894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59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84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59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59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203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59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354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59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59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59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2150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59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59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59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59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2150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59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2236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59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11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59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77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59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5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59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255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59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40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59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23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59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13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59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35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59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59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59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459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59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59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59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59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59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59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460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59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59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59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59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460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59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59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59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59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59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59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59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59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59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460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59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47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59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34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59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153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59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59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261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59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59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59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59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59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59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59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59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59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261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59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199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59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59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59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261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59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199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59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199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59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59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199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59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59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430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59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-222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59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59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-214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59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59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59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59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59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59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59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-9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59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59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59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59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59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59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59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59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59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59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59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59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59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59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8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59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59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59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59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59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59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8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59">
        <f t="shared" si="20"/>
        <v>44104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59">
        <f t="shared" si="20"/>
        <v>44104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5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59">
        <f t="shared" si="20"/>
        <v>44104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59">
        <f t="shared" si="20"/>
        <v>44104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4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59">
        <f t="shared" si="20"/>
        <v>44104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59">
        <f aca="true" t="shared" si="23" ref="C218:C281">endDate</f>
        <v>44104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59">
        <f t="shared" si="23"/>
        <v>44104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59">
        <f t="shared" si="23"/>
        <v>44104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59">
        <f t="shared" si="23"/>
        <v>44104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59">
        <f t="shared" si="23"/>
        <v>44104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59">
        <f t="shared" si="23"/>
        <v>44104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59">
        <f t="shared" si="23"/>
        <v>44104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59">
        <f t="shared" si="23"/>
        <v>44104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59">
        <f t="shared" si="23"/>
        <v>44104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59">
        <f t="shared" si="23"/>
        <v>44104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59">
        <f t="shared" si="23"/>
        <v>44104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59">
        <f t="shared" si="23"/>
        <v>44104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59">
        <f t="shared" si="23"/>
        <v>44104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59">
        <f t="shared" si="23"/>
        <v>44104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59">
        <f t="shared" si="23"/>
        <v>44104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59">
        <f t="shared" si="23"/>
        <v>44104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59">
        <f t="shared" si="23"/>
        <v>44104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59">
        <f t="shared" si="23"/>
        <v>44104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59">
        <f t="shared" si="23"/>
        <v>44104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59">
        <f t="shared" si="23"/>
        <v>44104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59">
        <f t="shared" si="23"/>
        <v>44104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59">
        <f t="shared" si="23"/>
        <v>44104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59">
        <f t="shared" si="23"/>
        <v>44104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59">
        <f t="shared" si="23"/>
        <v>44104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59">
        <f t="shared" si="23"/>
        <v>44104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59">
        <f t="shared" si="23"/>
        <v>44104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59">
        <f t="shared" si="23"/>
        <v>44104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59">
        <f t="shared" si="23"/>
        <v>44104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59">
        <f t="shared" si="23"/>
        <v>44104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59">
        <f t="shared" si="23"/>
        <v>44104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59">
        <f t="shared" si="23"/>
        <v>44104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59">
        <f t="shared" si="23"/>
        <v>44104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59">
        <f t="shared" si="23"/>
        <v>44104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59">
        <f t="shared" si="23"/>
        <v>44104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59">
        <f t="shared" si="23"/>
        <v>44104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59">
        <f t="shared" si="23"/>
        <v>44104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59">
        <f t="shared" si="23"/>
        <v>44104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59">
        <f t="shared" si="23"/>
        <v>44104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59">
        <f t="shared" si="23"/>
        <v>44104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59">
        <f t="shared" si="23"/>
        <v>44104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59">
        <f t="shared" si="23"/>
        <v>44104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59">
        <f t="shared" si="23"/>
        <v>44104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59">
        <f t="shared" si="23"/>
        <v>44104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59">
        <f t="shared" si="23"/>
        <v>44104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59">
        <f t="shared" si="23"/>
        <v>44104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2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59">
        <f t="shared" si="23"/>
        <v>44104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59">
        <f t="shared" si="23"/>
        <v>44104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59">
        <f t="shared" si="23"/>
        <v>44104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59">
        <f t="shared" si="23"/>
        <v>44104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2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59">
        <f t="shared" si="23"/>
        <v>44104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59">
        <f t="shared" si="23"/>
        <v>44104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59">
        <f t="shared" si="23"/>
        <v>44104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59">
        <f t="shared" si="23"/>
        <v>44104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59">
        <f t="shared" si="23"/>
        <v>44104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59">
        <f t="shared" si="23"/>
        <v>44104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59">
        <f t="shared" si="23"/>
        <v>44104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59">
        <f t="shared" si="23"/>
        <v>44104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59">
        <f t="shared" si="23"/>
        <v>44104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59">
        <f t="shared" si="23"/>
        <v>44104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59">
        <f t="shared" si="23"/>
        <v>44104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59">
        <f t="shared" si="23"/>
        <v>44104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59">
        <f t="shared" si="23"/>
        <v>44104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59">
        <f t="shared" si="23"/>
        <v>44104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2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59">
        <f t="shared" si="23"/>
        <v>44104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59">
        <f aca="true" t="shared" si="26" ref="C282:C345">endDate</f>
        <v>44104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59">
        <f t="shared" si="26"/>
        <v>44104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2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59">
        <f t="shared" si="26"/>
        <v>44104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59">
        <f t="shared" si="26"/>
        <v>44104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59">
        <f t="shared" si="26"/>
        <v>44104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59">
        <f t="shared" si="26"/>
        <v>44104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59">
        <f t="shared" si="26"/>
        <v>44104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59">
        <f t="shared" si="26"/>
        <v>44104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59">
        <f t="shared" si="26"/>
        <v>44104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59">
        <f t="shared" si="26"/>
        <v>44104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59">
        <f t="shared" si="26"/>
        <v>44104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59">
        <f t="shared" si="26"/>
        <v>44104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59">
        <f t="shared" si="26"/>
        <v>44104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59">
        <f t="shared" si="26"/>
        <v>44104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59">
        <f t="shared" si="26"/>
        <v>44104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59">
        <f t="shared" si="26"/>
        <v>44104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59">
        <f t="shared" si="26"/>
        <v>44104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59">
        <f t="shared" si="26"/>
        <v>44104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59">
        <f t="shared" si="26"/>
        <v>44104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59">
        <f t="shared" si="26"/>
        <v>44104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59">
        <f t="shared" si="26"/>
        <v>44104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59">
        <f t="shared" si="26"/>
        <v>44104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59">
        <f t="shared" si="26"/>
        <v>44104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59">
        <f t="shared" si="26"/>
        <v>44104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59">
        <f t="shared" si="26"/>
        <v>44104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59">
        <f t="shared" si="26"/>
        <v>44104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59">
        <f t="shared" si="26"/>
        <v>44104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59">
        <f t="shared" si="26"/>
        <v>44104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59">
        <f t="shared" si="26"/>
        <v>44104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59">
        <f t="shared" si="26"/>
        <v>44104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59">
        <f t="shared" si="26"/>
        <v>44104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59">
        <f t="shared" si="26"/>
        <v>44104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59">
        <f t="shared" si="26"/>
        <v>44104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59">
        <f t="shared" si="26"/>
        <v>44104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59">
        <f t="shared" si="26"/>
        <v>44104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59">
        <f t="shared" si="26"/>
        <v>44104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59">
        <f t="shared" si="26"/>
        <v>44104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59">
        <f t="shared" si="26"/>
        <v>44104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59">
        <f t="shared" si="26"/>
        <v>44104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59">
        <f t="shared" si="26"/>
        <v>44104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59">
        <f t="shared" si="26"/>
        <v>44104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59">
        <f t="shared" si="26"/>
        <v>44104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59">
        <f t="shared" si="26"/>
        <v>44104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59">
        <f t="shared" si="26"/>
        <v>44104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59">
        <f t="shared" si="26"/>
        <v>44104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59">
        <f t="shared" si="26"/>
        <v>44104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59">
        <f t="shared" si="26"/>
        <v>44104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59">
        <f t="shared" si="26"/>
        <v>44104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59">
        <f t="shared" si="26"/>
        <v>44104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59">
        <f t="shared" si="26"/>
        <v>44104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59">
        <f t="shared" si="26"/>
        <v>44104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59">
        <f t="shared" si="26"/>
        <v>44104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59">
        <f t="shared" si="26"/>
        <v>44104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59">
        <f t="shared" si="26"/>
        <v>44104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59">
        <f t="shared" si="26"/>
        <v>44104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59">
        <f t="shared" si="26"/>
        <v>44104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59">
        <f t="shared" si="26"/>
        <v>44104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59">
        <f t="shared" si="26"/>
        <v>44104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59">
        <f t="shared" si="26"/>
        <v>44104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59">
        <f t="shared" si="26"/>
        <v>44104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59">
        <f t="shared" si="26"/>
        <v>44104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59">
        <f t="shared" si="26"/>
        <v>44104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59">
        <f t="shared" si="26"/>
        <v>44104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59">
        <f t="shared" si="26"/>
        <v>44104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59">
        <f aca="true" t="shared" si="29" ref="C346:C409">endDate</f>
        <v>44104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59">
        <f t="shared" si="29"/>
        <v>44104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59">
        <f t="shared" si="29"/>
        <v>44104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59">
        <f t="shared" si="29"/>
        <v>44104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59">
        <f t="shared" si="29"/>
        <v>44104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896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59">
        <f t="shared" si="29"/>
        <v>44104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59">
        <f t="shared" si="29"/>
        <v>44104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59">
        <f t="shared" si="29"/>
        <v>44104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59">
        <f t="shared" si="29"/>
        <v>44104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896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59">
        <f t="shared" si="29"/>
        <v>44104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59">
        <f t="shared" si="29"/>
        <v>44104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59">
        <f t="shared" si="29"/>
        <v>44104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59">
        <f t="shared" si="29"/>
        <v>44104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59">
        <f t="shared" si="29"/>
        <v>44104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59">
        <f t="shared" si="29"/>
        <v>44104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59">
        <f t="shared" si="29"/>
        <v>44104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59">
        <f t="shared" si="29"/>
        <v>44104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59">
        <f t="shared" si="29"/>
        <v>44104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59">
        <f t="shared" si="29"/>
        <v>44104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59">
        <f t="shared" si="29"/>
        <v>44104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59">
        <f t="shared" si="29"/>
        <v>44104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59">
        <f t="shared" si="29"/>
        <v>44104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59">
        <f t="shared" si="29"/>
        <v>44104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896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59">
        <f t="shared" si="29"/>
        <v>44104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59">
        <f t="shared" si="29"/>
        <v>44104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59">
        <f t="shared" si="29"/>
        <v>44104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896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59">
        <f t="shared" si="29"/>
        <v>44104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-4522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59">
        <f t="shared" si="29"/>
        <v>44104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59">
        <f t="shared" si="29"/>
        <v>44104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59">
        <f t="shared" si="29"/>
        <v>44104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59">
        <f t="shared" si="29"/>
        <v>44104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-4522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59">
        <f t="shared" si="29"/>
        <v>44104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-199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59">
        <f t="shared" si="29"/>
        <v>44104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59">
        <f t="shared" si="29"/>
        <v>44104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59">
        <f t="shared" si="29"/>
        <v>44104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59">
        <f t="shared" si="29"/>
        <v>44104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59">
        <f t="shared" si="29"/>
        <v>44104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59">
        <f t="shared" si="29"/>
        <v>44104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59">
        <f t="shared" si="29"/>
        <v>44104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59">
        <f t="shared" si="29"/>
        <v>44104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59">
        <f t="shared" si="29"/>
        <v>44104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59">
        <f t="shared" si="29"/>
        <v>44104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59">
        <f t="shared" si="29"/>
        <v>44104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59">
        <f t="shared" si="29"/>
        <v>44104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59">
        <f t="shared" si="29"/>
        <v>44104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-4721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59">
        <f t="shared" si="29"/>
        <v>44104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59">
        <f t="shared" si="29"/>
        <v>44104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59">
        <f t="shared" si="29"/>
        <v>44104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-4721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59">
        <f t="shared" si="29"/>
        <v>44104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59">
        <f t="shared" si="29"/>
        <v>44104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59">
        <f t="shared" si="29"/>
        <v>44104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59">
        <f t="shared" si="29"/>
        <v>44104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59">
        <f t="shared" si="29"/>
        <v>44104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59">
        <f t="shared" si="29"/>
        <v>44104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59">
        <f t="shared" si="29"/>
        <v>44104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59">
        <f t="shared" si="29"/>
        <v>44104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59">
        <f t="shared" si="29"/>
        <v>44104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59">
        <f t="shared" si="29"/>
        <v>44104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59">
        <f t="shared" si="29"/>
        <v>44104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59">
        <f t="shared" si="29"/>
        <v>44104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59">
        <f t="shared" si="29"/>
        <v>44104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59">
        <f t="shared" si="29"/>
        <v>44104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59">
        <f t="shared" si="29"/>
        <v>44104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59">
        <f t="shared" si="29"/>
        <v>44104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59">
        <f aca="true" t="shared" si="32" ref="C410:C459">endDate</f>
        <v>44104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59">
        <f t="shared" si="32"/>
        <v>44104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59">
        <f t="shared" si="32"/>
        <v>44104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59">
        <f t="shared" si="32"/>
        <v>44104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59">
        <f t="shared" si="32"/>
        <v>44104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59">
        <f t="shared" si="32"/>
        <v>44104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59">
        <f t="shared" si="32"/>
        <v>44104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274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59">
        <f t="shared" si="32"/>
        <v>44104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59">
        <f t="shared" si="32"/>
        <v>44104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59">
        <f t="shared" si="32"/>
        <v>44104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59">
        <f t="shared" si="32"/>
        <v>44104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274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59">
        <f t="shared" si="32"/>
        <v>44104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-199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59">
        <f t="shared" si="32"/>
        <v>44104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59">
        <f t="shared" si="32"/>
        <v>44104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59">
        <f t="shared" si="32"/>
        <v>44104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59">
        <f t="shared" si="32"/>
        <v>44104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59">
        <f t="shared" si="32"/>
        <v>44104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59">
        <f t="shared" si="32"/>
        <v>44104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59">
        <f t="shared" si="32"/>
        <v>44104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59">
        <f t="shared" si="32"/>
        <v>44104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59">
        <f t="shared" si="32"/>
        <v>44104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59">
        <f t="shared" si="32"/>
        <v>44104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59">
        <f t="shared" si="32"/>
        <v>44104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59">
        <f t="shared" si="32"/>
        <v>44104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59">
        <f t="shared" si="32"/>
        <v>44104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75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59">
        <f t="shared" si="32"/>
        <v>44104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59">
        <f t="shared" si="32"/>
        <v>44104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59">
        <f t="shared" si="32"/>
        <v>44104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75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59">
        <f t="shared" si="32"/>
        <v>44104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59">
        <f t="shared" si="32"/>
        <v>44104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59">
        <f t="shared" si="32"/>
        <v>44104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59">
        <f t="shared" si="32"/>
        <v>44104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59">
        <f t="shared" si="32"/>
        <v>44104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59">
        <f t="shared" si="32"/>
        <v>44104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59">
        <f t="shared" si="32"/>
        <v>44104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59">
        <f t="shared" si="32"/>
        <v>44104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59">
        <f t="shared" si="32"/>
        <v>44104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59">
        <f t="shared" si="32"/>
        <v>44104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59">
        <f t="shared" si="32"/>
        <v>44104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59">
        <f t="shared" si="32"/>
        <v>44104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59">
        <f t="shared" si="32"/>
        <v>44104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59">
        <f t="shared" si="32"/>
        <v>44104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59">
        <f t="shared" si="32"/>
        <v>44104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59">
        <f t="shared" si="32"/>
        <v>44104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59">
        <f t="shared" si="32"/>
        <v>44104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59">
        <f t="shared" si="32"/>
        <v>44104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59">
        <f t="shared" si="32"/>
        <v>44104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59">
        <f t="shared" si="32"/>
        <v>44104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59">
        <f t="shared" si="32"/>
        <v>44104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59">
        <f t="shared" si="32"/>
        <v>44104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59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5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59">
        <f t="shared" si="35"/>
        <v>44104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59">
        <f t="shared" si="35"/>
        <v>44104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59">
        <f t="shared" si="35"/>
        <v>44104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59">
        <f t="shared" si="35"/>
        <v>44104</v>
      </c>
      <c r="D468" s="92" t="s">
        <v>528</v>
      </c>
      <c r="E468" s="92">
        <v>1</v>
      </c>
      <c r="F468" s="92" t="s">
        <v>517</v>
      </c>
      <c r="H468" s="285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59">
        <f t="shared" si="35"/>
        <v>44104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59">
        <f t="shared" si="35"/>
        <v>44104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59">
        <f t="shared" si="35"/>
        <v>44104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59">
        <f t="shared" si="35"/>
        <v>44104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59">
        <f t="shared" si="35"/>
        <v>44104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59">
        <f t="shared" si="35"/>
        <v>44104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59">
        <f t="shared" si="35"/>
        <v>44104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59">
        <f t="shared" si="35"/>
        <v>44104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59">
        <f t="shared" si="35"/>
        <v>44104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59">
        <f t="shared" si="35"/>
        <v>44104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59">
        <f t="shared" si="35"/>
        <v>44104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59">
        <f t="shared" si="35"/>
        <v>44104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59">
        <f t="shared" si="35"/>
        <v>44104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59">
        <f t="shared" si="35"/>
        <v>44104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59">
        <f t="shared" si="35"/>
        <v>44104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59">
        <f t="shared" si="35"/>
        <v>44104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59">
        <f t="shared" si="35"/>
        <v>44104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59">
        <f t="shared" si="35"/>
        <v>44104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59">
        <f t="shared" si="35"/>
        <v>44104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59">
        <f t="shared" si="35"/>
        <v>44104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59">
        <f t="shared" si="35"/>
        <v>44104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59">
        <f t="shared" si="35"/>
        <v>44104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59">
        <f t="shared" si="35"/>
        <v>44104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59">
        <f t="shared" si="35"/>
        <v>44104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59">
        <f t="shared" si="35"/>
        <v>44104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59">
        <f t="shared" si="35"/>
        <v>44104</v>
      </c>
      <c r="D494" s="92" t="s">
        <v>519</v>
      </c>
      <c r="E494" s="92">
        <v>4</v>
      </c>
      <c r="F494" s="92" t="s">
        <v>518</v>
      </c>
      <c r="H494" s="285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59">
        <f t="shared" si="35"/>
        <v>44104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59">
        <f t="shared" si="35"/>
        <v>44104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59">
        <f t="shared" si="35"/>
        <v>44104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59">
        <f t="shared" si="35"/>
        <v>44104</v>
      </c>
      <c r="D498" s="92" t="s">
        <v>528</v>
      </c>
      <c r="E498" s="92">
        <v>4</v>
      </c>
      <c r="F498" s="92" t="s">
        <v>517</v>
      </c>
      <c r="H498" s="285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59">
        <f t="shared" si="35"/>
        <v>44104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59">
        <f t="shared" si="35"/>
        <v>44104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59">
        <f t="shared" si="35"/>
        <v>44104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59">
        <f t="shared" si="35"/>
        <v>44104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59">
        <f t="shared" si="35"/>
        <v>44104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2019-04-25T08:38:21Z</cp:lastPrinted>
  <dcterms:created xsi:type="dcterms:W3CDTF">2006-09-16T00:00:00Z</dcterms:created>
  <dcterms:modified xsi:type="dcterms:W3CDTF">2020-10-30T13:09:44Z</dcterms:modified>
  <cp:category/>
  <cp:version/>
  <cp:contentType/>
  <cp:contentStatus/>
</cp:coreProperties>
</file>