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<sst xmlns="http://schemas.openxmlformats.org/spreadsheetml/2006/main" count="1065" uniqueCount="889">
  <si>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</si>
  <si>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</si>
  <si>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</si>
  <si>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</si>
  <si>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</si>
  <si>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</si>
  <si>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</si>
  <si>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</si>
  <si>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</si>
  <si>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</si>
  <si>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</si>
  <si>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</si>
  <si>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</si>
  <si>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</si>
  <si>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</si>
  <si>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</si>
  <si>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</si>
  <si>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</si>
  <si>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</si>
  <si>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</si>
  <si>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</si>
  <si>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</si>
  <si>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</si>
  <si>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</si>
  <si>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</si>
  <si>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</si>
  <si>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</si>
  <si>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</si>
  <si>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</si>
  <si>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</si>
  <si>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</si>
  <si>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</si>
  <si>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</si>
  <si>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</si>
  <si>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</si>
  <si>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</si>
  <si>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</si>
  <si>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</si>
  <si>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</si>
  <si>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</si>
  <si>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</si>
  <si>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</si>
  <si>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</si>
  <si>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</si>
  <si>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</si>
  <si>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</si>
  <si>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</si>
  <si>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</si>
  <si>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</si>
  <si>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</si>
  <si>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</si>
  <si>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</si>
  <si>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</si>
  <si>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</si>
  <si>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</si>
  <si>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</si>
  <si>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</si>
  <si>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</si>
  <si>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</si>
  <si>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</si>
  <si>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</si>
  <si>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</si>
  <si>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</si>
  <si>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</si>
  <si>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</si>
  <si>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</si>
  <si>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</si>
  <si>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</si>
  <si>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</si>
  <si>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</si>
  <si>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</si>
  <si>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</si>
  <si>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</si>
  <si>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</si>
  <si>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</si>
  <si>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</si>
  <si>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</si>
  <si>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</si>
  <si>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</si>
  <si>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</si>
  <si>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</si>
  <si>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</si>
  <si>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</si>
  <si>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</si>
  <si>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</si>
  <si>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</si>
  <si>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</si>
  <si>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</si>
  <si>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</si>
  <si>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</si>
  <si>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</si>
  <si>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</si>
  <si>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</si>
  <si>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</si>
  <si>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</si>
  <si>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</si>
  <si>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</si>
  <si>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</si>
  <si>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</si>
  <si>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</si>
  <si>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</si>
  <si>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</si>
  <si>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</si>
  <si>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</si>
  <si>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</si>
  <si>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</si>
  <si>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</si>
  <si>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</si>
  <si>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</si>
  <si>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</si>
  <si>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</si>
  <si>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</si>
  <si>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</si>
  <si>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</si>
  <si>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</si>
  <si>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</si>
  <si>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</si>
  <si>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</si>
  <si>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</si>
  <si>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</si>
  <si>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</si>
  <si>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</si>
  <si>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</si>
  <si>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</si>
  <si>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</si>
  <si>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</si>
  <si>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</si>
  <si>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</si>
  <si>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</si>
  <si>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</si>
  <si>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</si>
  <si>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</si>
  <si>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</si>
  <si>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</si>
  <si>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</si>
  <si>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</si>
  <si>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</si>
  <si>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</si>
  <si>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</si>
  <si>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</si>
  <si>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</si>
  <si>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</si>
  <si>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</si>
  <si>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</si>
  <si>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</si>
  <si>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</si>
  <si>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</si>
  <si>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</si>
  <si>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</si>
  <si>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</si>
  <si>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</si>
  <si>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</si>
  <si>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</si>
  <si>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</si>
  <si>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</si>
  <si>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</si>
  <si>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</si>
  <si>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</si>
  <si>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</si>
  <si>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</si>
  <si>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</si>
  <si>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</si>
  <si>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</si>
  <si>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</si>
  <si>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</si>
  <si>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</si>
  <si>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</si>
  <si>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</si>
  <si>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</si>
  <si>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</si>
  <si>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</si>
  <si>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</si>
  <si>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</si>
  <si>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</si>
  <si>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</si>
  <si>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</si>
  <si>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</si>
  <si>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</si>
  <si>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</si>
  <si>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</si>
  <si>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</si>
  <si>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</si>
  <si>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</si>
  <si>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</si>
  <si>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</si>
  <si>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</si>
  <si>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</si>
  <si>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</si>
  <si>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</si>
  <si>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</si>
  <si>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</si>
  <si>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</si>
  <si>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</si>
  <si>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</si>
  <si>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</si>
  <si>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</si>
  <si>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</si>
  <si>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</si>
  <si>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</si>
  <si>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</si>
  <si>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</si>
  <si>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</si>
  <si>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</si>
  <si>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</si>
  <si>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</si>
  <si>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</si>
  <si>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</si>
  <si>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</si>
  <si>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</si>
  <si>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</si>
  <si>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</si>
  <si>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</si>
  <si>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</si>
  <si>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</si>
  <si>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</si>
  <si>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</si>
  <si>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</si>
  <si>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</si>
  <si>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</si>
  <si>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</si>
  <si>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</si>
  <si>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</si>
  <si>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</si>
  <si>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</si>
  <si>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</si>
  <si>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</si>
  <si>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</si>
  <si>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</si>
  <si>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</si>
  <si>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</si>
  <si>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</si>
  <si>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</si>
  <si>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</si>
  <si>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</si>
  <si>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</si>
  <si>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</si>
  <si>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</si>
  <si>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</si>
  <si>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</si>
  <si>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</si>
  <si>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</si>
  <si>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</si>
  <si>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</si>
  <si>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</si>
  <si>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</si>
  <si>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</si>
  <si>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</si>
  <si>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</si>
  <si>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</si>
  <si>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</si>
  <si>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</si>
  <si>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</si>
  <si>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</si>
  <si>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</si>
  <si>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</si>
  <si>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</si>
  <si>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</si>
  <si>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</si>
  <si>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</si>
  <si>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</si>
  <si>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</si>
  <si>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</si>
  <si>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</si>
  <si>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</si>
  <si>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</si>
  <si>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</si>
  <si>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</si>
  <si>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</si>
  <si>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</si>
  <si>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</si>
  <si>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</si>
  <si>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</si>
  <si>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</si>
  <si>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</si>
  <si>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</si>
  <si>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</si>
  <si>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</si>
  <si>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</si>
  <si>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</si>
  <si>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</si>
  <si>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</si>
  <si>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</si>
  <si>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</si>
  <si>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</si>
  <si>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</si>
  <si>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</si>
  <si>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</si>
  <si>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</si>
  <si>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</si>
  <si>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</si>
  <si>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</si>
  <si>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</si>
  <si>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</si>
  <si>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</si>
  <si>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</si>
  <si>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</si>
  <si>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</si>
  <si>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</si>
  <si>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</si>
  <si>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</si>
  <si>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</si>
  <si>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</si>
  <si>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</si>
  <si>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</si>
  <si>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</si>
  <si>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</si>
  <si>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</si>
  <si>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</si>
  <si>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</si>
  <si>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</si>
  <si>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</si>
  <si>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</si>
  <si>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</si>
  <si>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</si>
  <si>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</si>
  <si>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</si>
  <si>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</si>
  <si>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</si>
  <si>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</si>
  <si>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</si>
  <si>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</si>
  <si>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</si>
  <si>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</si>
  <si>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</si>
  <si>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</si>
  <si>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</si>
  <si>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</si>
  <si>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</si>
  <si>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</si>
  <si>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</si>
  <si>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</si>
  <si>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</si>
  <si>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</si>
  <si>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</si>
  <si>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</si>
  <si>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</si>
  <si>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</si>
  <si>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</si>
  <si>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</si>
  <si>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</si>
  <si>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</si>
  <si>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</si>
  <si>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</si>
  <si>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</si>
  <si>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</si>
  <si>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</si>
  <si>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</si>
  <si>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</si>
  <si>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</si>
  <si>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</si>
  <si>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</si>
  <si>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</si>
  <si>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</si>
  <si>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</si>
  <si>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</si>
  <si>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</si>
  <si>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</si>
  <si>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</si>
  <si>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</si>
  <si>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</si>
  <si>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</si>
  <si>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</si>
  <si>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</si>
  <si>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</si>
  <si>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</si>
  <si>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</si>
  <si>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</si>
  <si>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</si>
  <si>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</si>
  <si>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</si>
  <si>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</si>
  <si>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</si>
  <si>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</si>
  <si>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</si>
  <si>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</si>
  <si>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</si>
  <si>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</si>
  <si>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</si>
  <si>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</si>
  <si>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</si>
  <si>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</si>
  <si>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</si>
  <si>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</si>
  <si>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</si>
  <si>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</si>
  <si>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</si>
  <si>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</si>
  <si>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</si>
  <si>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</si>
  <si>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</si>
  <si>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</si>
  <si>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</si>
  <si>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</si>
  <si>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</si>
  <si>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</si>
  <si>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</si>
  <si>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</si>
  <si>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</si>
  <si>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</si>
  <si>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</si>
  <si>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</si>
  <si>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</si>
  <si>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</si>
  <si>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</si>
  <si>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</si>
  <si>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</si>
  <si>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</si>
  <si>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</si>
  <si>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</si>
  <si>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</si>
  <si>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</si>
  <si>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</si>
  <si>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</si>
  <si>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</si>
  <si>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</si>
  <si>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</si>
  <si>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</si>
  <si>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</si>
  <si>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</si>
  <si>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</si>
  <si>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</si>
  <si>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</si>
  <si>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</si>
  <si>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</si>
  <si>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</si>
  <si>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</si>
  <si>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</si>
  <si>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</si>
  <si>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</si>
  <si>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</si>
  <si>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</si>
  <si>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</si>
  <si>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</si>
  <si>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</si>
  <si>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</si>
  <si>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</si>
  <si>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</si>
  <si>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</si>
  <si>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</si>
  <si>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</si>
  <si>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</si>
  <si>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</si>
  <si>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</si>
  <si>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</si>
  <si>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</si>
  <si>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</si>
  <si>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</si>
  <si>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</si>
  <si>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</si>
  <si>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</si>
  <si>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</si>
  <si>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</si>
  <si>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</si>
  <si>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</si>
  <si>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</si>
  <si>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</si>
  <si>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</si>
  <si>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</si>
  <si>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</si>
  <si>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</si>
  <si>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</si>
  <si>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</si>
  <si>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</si>
  <si>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</si>
  <si>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</si>
  <si>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</si>
  <si>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</si>
  <si>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</si>
  <si>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</si>
  <si>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</si>
  <si>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</si>
  <si>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</si>
  <si>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</si>
  <si>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</si>
  <si>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</si>
  <si>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</si>
  <si>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</si>
  <si>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</si>
  <si>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</si>
  <si>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</si>
  <si>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</si>
  <si>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</si>
  <si>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</si>
  <si>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</si>
  <si>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</si>
  <si>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</si>
  <si>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</si>
  <si>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</si>
  <si>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</si>
  <si>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</si>
  <si>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</si>
  <si>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</si>
  <si>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</si>
  <si>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</si>
  <si>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</si>
  <si>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</si>
  <si>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</si>
  <si>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</si>
  <si>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</si>
  <si>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</si>
  <si>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</si>
  <si>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</si>
  <si>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</si>
  <si>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</si>
  <si>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</si>
  <si>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</si>
  <si>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</si>
  <si>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</si>
  <si>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</si>
  <si>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</si>
  <si>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</si>
  <si>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</si>
  <si>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</si>
  <si>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</si>
  <si>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</si>
  <si>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</si>
  <si>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</si>
  <si>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</si>
  <si>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</si>
  <si>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</si>
  <si>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</si>
  <si>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</si>
  <si>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</si>
  <si>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</si>
  <si>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</si>
  <si>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</si>
  <si>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</si>
  <si>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</si>
  <si>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</si>
  <si>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</si>
  <si>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</si>
  <si>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</si>
  <si>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</si>
  <si>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</si>
  <si>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</si>
  <si>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</si>
  <si>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</si>
  <si>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</si>
  <si>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</si>
  <si>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</si>
  <si>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</si>
  <si>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</si>
  <si>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</si>
  <si>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</si>
  <si>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</si>
  <si>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</si>
  <si>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</si>
  <si>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</si>
  <si>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</si>
  <si>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</si>
  <si>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</si>
  <si>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</si>
  <si>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</si>
  <si>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</si>
  <si>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</si>
  <si>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</si>
  <si>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</si>
  <si>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</si>
  <si>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</si>
  <si>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</si>
  <si>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</si>
  <si>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</si>
  <si>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</si>
  <si>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</si>
  <si>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</si>
  <si>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</si>
  <si>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</si>
  <si>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</si>
  <si>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</si>
  <si>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</si>
  <si>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</si>
  <si>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</si>
  <si>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</si>
  <si>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</si>
  <si>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</si>
  <si>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</si>
  <si>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</si>
  <si>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</si>
  <si>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</si>
  <si>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</si>
  <si>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</si>
  <si>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</si>
  <si>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</si>
  <si>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</si>
  <si>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</si>
  <si>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</si>
  <si>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</si>
  <si>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</si>
  <si>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</si>
  <si>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</si>
  <si>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</si>
  <si>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</si>
  <si>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</si>
  <si>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</si>
  <si>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</si>
  <si>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</si>
  <si>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</si>
  <si>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</si>
  <si>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</si>
  <si>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</si>
  <si>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</si>
  <si>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</si>
  <si>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</si>
  <si>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</si>
  <si>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</si>
  <si>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</si>
  <si>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</si>
  <si>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</si>
  <si>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</si>
  <si>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</si>
  <si>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</si>
  <si>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</si>
  <si>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</si>
  <si>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</si>
  <si>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</si>
  <si>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</si>
  <si>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</si>
  <si>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</si>
  <si>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</si>
  <si>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</si>
  <si>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</si>
  <si>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</si>
  <si>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</si>
  <si>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</si>
  <si>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</si>
  <si>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</si>
  <si>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</si>
  <si>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</si>
  <si>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</si>
  <si>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</si>
  <si>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</si>
  <si>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</si>
  <si>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</si>
  <si>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</si>
  <si>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</si>
  <si>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</si>
  <si>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</si>
  <si>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</si>
  <si>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</si>
  <si>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</si>
  <si>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</si>
  <si>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</si>
  <si>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</si>
  <si>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</si>
  <si>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</si>
  <si>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</si>
  <si>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</si>
  <si>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</si>
  <si>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</si>
  <si>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</si>
  <si>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</si>
  <si>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</si>
  <si>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</si>
  <si>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</si>
  <si>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</si>
  <si>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</si>
  <si>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</si>
  <si>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</si>
  <si>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</si>
  <si>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</si>
  <si>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</si>
  <si>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</si>
  <si>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</si>
  <si>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</si>
  <si>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</si>
  <si>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</si>
  <si>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</si>
  <si>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</si>
  <si>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</si>
  <si>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</si>
  <si>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</si>
  <si>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</si>
  <si>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</si>
  <si>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</si>
  <si>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</si>
  <si>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</si>
  <si>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</si>
  <si>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</si>
  <si>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</si>
  <si>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</si>
  <si>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</si>
  <si>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</si>
  <si>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</si>
  <si>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</si>
  <si>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</si>
  <si>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</si>
  <si>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</si>
  <si>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</si>
  <si>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</si>
  <si>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</si>
  <si>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</si>
  <si>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</si>
  <si>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</si>
  <si>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</si>
  <si>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</si>
  <si>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</si>
  <si>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</si>
  <si>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</si>
  <si>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</si>
  <si>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</si>
  <si>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</si>
  <si>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</si>
  <si>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</si>
  <si>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</si>
  <si>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</si>
  <si>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</si>
  <si>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</si>
  <si>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</si>
  <si>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</si>
  <si>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</si>
  <si>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</si>
  <si>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</si>
  <si>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</si>
  <si>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</si>
  <si>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</si>
  <si>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</si>
  <si>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</si>
  <si>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</si>
  <si>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</si>
  <si>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</si>
  <si>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</si>
  <si>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</si>
  <si>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</si>
  <si>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</si>
  <si>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</si>
  <si>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</si>
  <si>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</si>
  <si>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</si>
  <si>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</si>
  <si>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</si>
  <si>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</si>
  <si>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</si>
  <si>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</si>
  <si>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</si>
  <si>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</si>
  <si>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</si>
  <si>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</si>
  <si>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</si>
  <si>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</si>
  <si>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</si>
  <si>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</si>
  <si>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</si>
  <si>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</si>
  <si>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</si>
  <si>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</si>
  <si>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</si>
  <si>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</si>
  <si>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</si>
  <si>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</si>
  <si>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</si>
  <si>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</si>
  <si>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</si>
  <si>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</si>
  <si>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</si>
  <si>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</si>
  <si>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</si>
  <si>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</si>
  <si>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</si>
  <si>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</si>
  <si>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</si>
  <si>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</si>
  <si>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</si>
  <si>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</si>
  <si>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</si>
  <si>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</si>
  <si>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</si>
  <si>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</si>
  <si>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</si>
  <si>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</si>
  <si>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</si>
  <si>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</si>
  <si>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</si>
  <si>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</si>
  <si>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</si>
  <si>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</si>
  <si>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</si>
  <si>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</si>
  <si>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</si>
  <si>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</si>
  <si>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</si>
  <si>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</si>
  <si>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</si>
  <si>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</si>
  <si>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</si>
  <si>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</si>
  <si>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</si>
  <si>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</si>
  <si>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</si>
  <si>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</si>
  <si>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</si>
  <si>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</si>
  <si>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</si>
  <si>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</si>
  <si>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</si>
  <si>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</si>
  <si>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</si>
  <si>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</si>
  <si>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</si>
  <si>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</si>
  <si>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</si>
  <si>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</si>
  <si>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</si>
  <si>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</si>
  <si>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</si>
  <si>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</si>
  <si>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</si>
  <si>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</si>
  <si>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</si>
  <si>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</si>
  <si>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</si>
  <si>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</si>
  <si>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</si>
  <si>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</si>
  <si>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</si>
  <si>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</si>
  <si>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</si>
  <si>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</si>
  <si>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</si>
  <si>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</si>
  <si>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</si>
  <si>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</si>
  <si>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</si>
  <si>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</si>
  <si>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</si>
  <si>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</si>
  <si>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</si>
  <si>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</si>
  <si>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</si>
  <si>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</si>
  <si>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</si>
  <si>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</si>
  <si>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</si>
  <si>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</si>
  <si>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</si>
  <si>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</si>
  <si>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</si>
  <si>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</si>
  <si>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</si>
  <si>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</si>
  <si>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</si>
  <si>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</si>
  <si>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</si>
  <si>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</si>
  <si>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</si>
  <si>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</si>
  <si>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</si>
  <si>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</si>
  <si>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</si>
  <si>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</si>
  <si>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</si>
  <si>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</si>
  <si>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</si>
  <si>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</si>
  <si>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</si>
  <si>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</si>
  <si>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</si>
  <si>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</si>
  <si>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</si>
  <si>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</si>
  <si>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</si>
  <si>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</si>
  <si>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</si>
  <si>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</si>
  <si>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</si>
  <si>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</si>
  <si>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</si>
  <si>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</si>
  <si>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</si>
  <si>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</si>
  <si>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</si>
  <si>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</si>
  <si>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</si>
  <si>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01.01.2008-31.03.2008 година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</si>
  <si>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</si>
  <si>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</si>
  <si>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</si>
  <si>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</si>
  <si>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</si>
  <si>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</si>
  <si>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</si>
  <si>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2. Енемона Старт</t>
  </si>
  <si>
    <t>3. Енида Инженеринг АД</t>
  </si>
  <si>
    <t>4.Алфа Енемона ООД</t>
  </si>
  <si>
    <t>5. СОФ ГЕО ЛИНТ 2006 ООД</t>
  </si>
  <si>
    <t>Дата на съставяне: 21.04.2008 г.</t>
  </si>
  <si>
    <t>21.04.2008 г.</t>
  </si>
  <si>
    <t xml:space="preserve">Дата на съставяне:        21.04.2008 г.                            </t>
  </si>
  <si>
    <t xml:space="preserve">Дата  на съставяне:  21.04.2008 г.                                                                                                                 </t>
  </si>
  <si>
    <t xml:space="preserve">Дата на съставяне:          21.04.2008 г.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</si>
</sst>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6" applyFont="1" applyAlignment="1">
      <alignment horizontal="left"/>
      <protection/>
    </xf>
    <xf numFmtId="1" fontId="9" fillId="0" borderId="0" xfId="27" applyNumberFormat="1" applyFont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3" applyFont="1" applyAlignment="1" applyProtection="1" quotePrefix="1">
      <alignment vertical="center" wrapText="1"/>
      <protection locked="0"/>
    </xf>
    <xf numFmtId="49" fontId="11" fillId="0" borderId="0" xfId="23" applyNumberFormat="1" applyFont="1" applyAlignment="1" applyProtection="1" quotePrefix="1">
      <alignment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</sheetPr>
  <dimension ref="A1:R186"/>
  <sheetViews>
    <sheetView workbookViewId="0" topLeftCell="A1">
      <selection activeCell="C14" sqref="C1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863</v>
      </c>
      <c r="F3" s="217" t="s">
        <v>2</v>
      </c>
      <c r="G3" s="172"/>
      <c r="H3" s="461" t="s">
        <v>865</v>
      </c>
    </row>
    <row r="4" spans="1:8" ht="15">
      <c r="A4" s="584" t="s">
        <v>3</v>
      </c>
      <c r="B4" s="590"/>
      <c r="C4" s="590"/>
      <c r="D4" s="590"/>
      <c r="E4" s="504" t="s">
        <v>864</v>
      </c>
      <c r="F4" s="586" t="s">
        <v>4</v>
      </c>
      <c r="G4" s="587"/>
      <c r="H4" s="461" t="s">
        <v>866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1411</v>
      </c>
      <c r="D11" s="151">
        <v>1350</v>
      </c>
      <c r="E11" s="237" t="s">
        <v>22</v>
      </c>
      <c r="F11" s="242" t="s">
        <v>23</v>
      </c>
      <c r="G11" s="152">
        <v>11934</v>
      </c>
      <c r="H11" s="152">
        <v>11934</v>
      </c>
    </row>
    <row r="12" spans="1:8" ht="15">
      <c r="A12" s="235" t="s">
        <v>24</v>
      </c>
      <c r="B12" s="241" t="s">
        <v>25</v>
      </c>
      <c r="C12" s="151">
        <f>8899-1205</f>
        <v>7694</v>
      </c>
      <c r="D12" s="151">
        <v>7744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f>5074-1913</f>
        <v>3161</v>
      </c>
      <c r="D13" s="151">
        <v>3081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4586-1510</f>
        <v>3076</v>
      </c>
      <c r="D15" s="151">
        <v>2944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701-287</f>
        <v>414</v>
      </c>
      <c r="D16" s="151">
        <v>394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1942</v>
      </c>
      <c r="D17" s="151">
        <v>1208</v>
      </c>
      <c r="E17" s="243" t="s">
        <v>46</v>
      </c>
      <c r="F17" s="245" t="s">
        <v>47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1517+836-151-532</f>
        <v>1670</v>
      </c>
      <c r="D18" s="151">
        <v>1331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19368</v>
      </c>
      <c r="D19" s="155">
        <f>SUM(D11:D18)</f>
        <v>18052</v>
      </c>
      <c r="E19" s="237" t="s">
        <v>53</v>
      </c>
      <c r="F19" s="242" t="s">
        <v>54</v>
      </c>
      <c r="G19" s="152">
        <v>31600</v>
      </c>
      <c r="H19" s="152">
        <v>31600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5650</v>
      </c>
      <c r="H20" s="158">
        <v>5650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2306</v>
      </c>
      <c r="H21" s="156">
        <f>SUM(H22:H24)</f>
        <v>2306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814</v>
      </c>
      <c r="H22" s="152">
        <v>814</v>
      </c>
    </row>
    <row r="23" spans="1:13" ht="15">
      <c r="A23" s="235" t="s">
        <v>66</v>
      </c>
      <c r="B23" s="241" t="s">
        <v>67</v>
      </c>
      <c r="C23" s="151">
        <f>1432-598</f>
        <v>834</v>
      </c>
      <c r="D23" s="151">
        <v>848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f>296-126</f>
        <v>170</v>
      </c>
      <c r="D24" s="151">
        <v>170</v>
      </c>
      <c r="E24" s="237" t="s">
        <v>72</v>
      </c>
      <c r="F24" s="242" t="s">
        <v>73</v>
      </c>
      <c r="G24" s="152">
        <v>1492</v>
      </c>
      <c r="H24" s="152">
        <v>1492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39556</v>
      </c>
      <c r="H25" s="154">
        <f>H19+H20+H21</f>
        <v>39556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1004</v>
      </c>
      <c r="D27" s="155">
        <f>SUM(D23:D26)</f>
        <v>1018</v>
      </c>
      <c r="E27" s="253" t="s">
        <v>83</v>
      </c>
      <c r="F27" s="242" t="s">
        <v>84</v>
      </c>
      <c r="G27" s="154">
        <f>SUM(G28:G30)</f>
        <v>7871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7871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1029</v>
      </c>
      <c r="H31" s="152">
        <v>7871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8900</v>
      </c>
      <c r="H33" s="154">
        <f>H27+H31+H32</f>
        <v>7871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7468</v>
      </c>
      <c r="D34" s="155">
        <f>SUM(D35:D38)</f>
        <v>6784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7450</v>
      </c>
      <c r="D35" s="151">
        <v>6766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60390</v>
      </c>
      <c r="H36" s="154">
        <f>H25+H17+H33</f>
        <v>59361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</v>
      </c>
      <c r="D38" s="151">
        <v>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34</v>
      </c>
      <c r="H43" s="152">
        <v>50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445</v>
      </c>
      <c r="H44" s="152">
        <v>587</v>
      </c>
    </row>
    <row r="45" spans="1:15" ht="15">
      <c r="A45" s="235" t="s">
        <v>136</v>
      </c>
      <c r="B45" s="249" t="s">
        <v>137</v>
      </c>
      <c r="C45" s="155">
        <f>C34+C39+C44</f>
        <v>7468</v>
      </c>
      <c r="D45" s="155">
        <f>D34+D39+D44</f>
        <v>6784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35</v>
      </c>
      <c r="D47" s="151">
        <v>735</v>
      </c>
      <c r="E47" s="251" t="s">
        <v>145</v>
      </c>
      <c r="F47" s="242" t="s">
        <v>146</v>
      </c>
      <c r="G47" s="152">
        <v>12743</v>
      </c>
      <c r="H47" s="152">
        <v>12743</v>
      </c>
      <c r="M47" s="157"/>
    </row>
    <row r="48" spans="1:8" ht="15">
      <c r="A48" s="235" t="s">
        <v>147</v>
      </c>
      <c r="B48" s="244" t="s">
        <v>148</v>
      </c>
      <c r="C48" s="151">
        <f>1443-35</f>
        <v>1408</v>
      </c>
      <c r="D48" s="151">
        <v>740</v>
      </c>
      <c r="E48" s="237" t="s">
        <v>149</v>
      </c>
      <c r="F48" s="242" t="s">
        <v>150</v>
      </c>
      <c r="G48" s="152">
        <v>1616</v>
      </c>
      <c r="H48" s="152">
        <v>904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14838</v>
      </c>
      <c r="H49" s="154">
        <f>SUM(H43:H48)</f>
        <v>14284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911+431+5+220+134</f>
        <v>1701</v>
      </c>
      <c r="D50" s="151">
        <v>1469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3144</v>
      </c>
      <c r="D51" s="155">
        <f>SUM(D47:D50)</f>
        <v>2944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37</v>
      </c>
      <c r="H54" s="152">
        <v>37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30984</v>
      </c>
      <c r="D55" s="155">
        <f>D19+D20+D21+D27+D32+D45+D51+D53+D54</f>
        <v>28798</v>
      </c>
      <c r="E55" s="237" t="s">
        <v>172</v>
      </c>
      <c r="F55" s="261" t="s">
        <v>173</v>
      </c>
      <c r="G55" s="154">
        <f>G49+G51+G52+G53+G54</f>
        <v>14875</v>
      </c>
      <c r="H55" s="154">
        <f>H49+H51+H52+H53+H54</f>
        <v>14321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10464</v>
      </c>
      <c r="D58" s="151">
        <v>9732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4882-3864+8081</f>
        <v>9099</v>
      </c>
      <c r="H59" s="152">
        <v>6521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410</v>
      </c>
      <c r="H60" s="152">
        <v>1013</v>
      </c>
    </row>
    <row r="61" spans="1:18" ht="15">
      <c r="A61" s="235" t="s">
        <v>187</v>
      </c>
      <c r="B61" s="244" t="s">
        <v>188</v>
      </c>
      <c r="C61" s="151">
        <v>11980</v>
      </c>
      <c r="D61" s="151">
        <v>11015</v>
      </c>
      <c r="E61" s="243" t="s">
        <v>189</v>
      </c>
      <c r="F61" s="272" t="s">
        <v>190</v>
      </c>
      <c r="G61" s="154">
        <f>SUM(G62:G68)</f>
        <v>13612</v>
      </c>
      <c r="H61" s="154">
        <f>SUM(H62:H68)</f>
        <v>20260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307+3864</f>
        <v>4171</v>
      </c>
      <c r="H62" s="152">
        <v>7837</v>
      </c>
    </row>
    <row r="63" spans="1:13" ht="15">
      <c r="A63" s="235" t="s">
        <v>195</v>
      </c>
      <c r="B63" s="241" t="s">
        <v>196</v>
      </c>
      <c r="C63" s="151">
        <v>247</v>
      </c>
      <c r="D63" s="151">
        <v>164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22691</v>
      </c>
      <c r="D64" s="155">
        <f>SUM(D58:D63)</f>
        <v>20911</v>
      </c>
      <c r="E64" s="237" t="s">
        <v>200</v>
      </c>
      <c r="F64" s="242" t="s">
        <v>201</v>
      </c>
      <c r="G64" s="152">
        <f>4048+449+499-1616-410</f>
        <v>2970</v>
      </c>
      <c r="H64" s="152">
        <v>4807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5422</v>
      </c>
      <c r="H65" s="152">
        <v>5687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414+165</f>
        <v>579</v>
      </c>
      <c r="H66" s="152">
        <v>638</v>
      </c>
    </row>
    <row r="67" spans="1:8" ht="15">
      <c r="A67" s="235" t="s">
        <v>207</v>
      </c>
      <c r="B67" s="241" t="s">
        <v>208</v>
      </c>
      <c r="C67" s="151">
        <f>602+979</f>
        <v>1581</v>
      </c>
      <c r="D67" s="151">
        <v>2214</v>
      </c>
      <c r="E67" s="237" t="s">
        <v>209</v>
      </c>
      <c r="F67" s="242" t="s">
        <v>210</v>
      </c>
      <c r="G67" s="152">
        <f>181+2+39+35</f>
        <v>257</v>
      </c>
      <c r="H67" s="152">
        <v>212</v>
      </c>
    </row>
    <row r="68" spans="1:8" ht="15">
      <c r="A68" s="235" t="s">
        <v>211</v>
      </c>
      <c r="B68" s="241" t="s">
        <v>212</v>
      </c>
      <c r="C68" s="151">
        <f>13653+2711-208-192</f>
        <v>15964</v>
      </c>
      <c r="D68" s="151">
        <v>11604</v>
      </c>
      <c r="E68" s="237" t="s">
        <v>213</v>
      </c>
      <c r="F68" s="242" t="s">
        <v>214</v>
      </c>
      <c r="G68" s="152">
        <f>34+62+3+114</f>
        <v>213</v>
      </c>
      <c r="H68" s="152">
        <v>1079</v>
      </c>
    </row>
    <row r="69" spans="1:8" ht="15">
      <c r="A69" s="235" t="s">
        <v>215</v>
      </c>
      <c r="B69" s="241" t="s">
        <v>216</v>
      </c>
      <c r="C69" s="151">
        <v>3046</v>
      </c>
      <c r="D69" s="151">
        <v>2860</v>
      </c>
      <c r="E69" s="251" t="s">
        <v>78</v>
      </c>
      <c r="F69" s="242" t="s">
        <v>217</v>
      </c>
      <c r="G69" s="152">
        <f>8+16+8+246</f>
        <v>278</v>
      </c>
      <c r="H69" s="152">
        <v>1080</v>
      </c>
    </row>
    <row r="70" spans="1:8" ht="15">
      <c r="A70" s="235" t="s">
        <v>218</v>
      </c>
      <c r="B70" s="241" t="s">
        <v>219</v>
      </c>
      <c r="C70" s="151">
        <f>3452-979</f>
        <v>2473</v>
      </c>
      <c r="D70" s="151">
        <v>674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</v>
      </c>
      <c r="D71" s="151">
        <v>10</v>
      </c>
      <c r="E71" s="253" t="s">
        <v>46</v>
      </c>
      <c r="F71" s="273" t="s">
        <v>224</v>
      </c>
      <c r="G71" s="161">
        <f>G59+G60+G61+G69+G70</f>
        <v>23399</v>
      </c>
      <c r="H71" s="161">
        <f>H59+H60+H61+H69+H70</f>
        <v>28874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5+64</f>
        <v>69</v>
      </c>
      <c r="D72" s="151">
        <v>97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46+8334</f>
        <v>8380</v>
      </c>
      <c r="D74" s="151">
        <v>5513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31523</v>
      </c>
      <c r="D75" s="155">
        <f>SUM(D67:D74)</f>
        <v>22972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23399</v>
      </c>
      <c r="H79" s="162">
        <f>H71+H74+H75+H76</f>
        <v>28874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5285+36</f>
        <v>5321</v>
      </c>
      <c r="D87" s="151">
        <v>4423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7696+449</f>
        <v>8145</v>
      </c>
      <c r="D88" s="151">
        <v>25452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13466</v>
      </c>
      <c r="D91" s="155">
        <f>SUM(D87:D90)</f>
        <v>29875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67680</v>
      </c>
      <c r="D93" s="155">
        <f>D64+D75+D84+D91+D92</f>
        <v>73758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98664</v>
      </c>
      <c r="D94" s="164">
        <f>D93+D55</f>
        <v>102556</v>
      </c>
      <c r="E94" s="449" t="s">
        <v>270</v>
      </c>
      <c r="F94" s="289" t="s">
        <v>271</v>
      </c>
      <c r="G94" s="165">
        <f>G36+G39+G55+G79</f>
        <v>98664</v>
      </c>
      <c r="H94" s="165">
        <f>H36+H39+H55+H79</f>
        <v>102556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6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884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855</v>
      </c>
      <c r="D100" s="589"/>
      <c r="E100" s="589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1"/>
  </sheetPr>
  <dimension ref="A1:R366"/>
  <sheetViews>
    <sheetView tabSelected="1" workbookViewId="0" topLeftCell="A19">
      <selection activeCell="C16" sqref="C1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"ЕНЕМОНА"АД, КОЗЛОДУЙ</v>
      </c>
      <c r="C2" s="582"/>
      <c r="D2" s="582"/>
      <c r="E2" s="582"/>
      <c r="F2" s="591" t="s">
        <v>2</v>
      </c>
      <c r="G2" s="591"/>
      <c r="H2" s="526" t="str">
        <f>'справка №1-БАЛАНС'!H3</f>
        <v>,020955078</v>
      </c>
    </row>
    <row r="3" spans="1:8" ht="15">
      <c r="A3" s="467" t="s">
        <v>275</v>
      </c>
      <c r="B3" s="582" t="str">
        <f>'справка №1-БАЛАНС'!E4</f>
        <v> НЕКОНСОЛИДИРАН</v>
      </c>
      <c r="C3" s="582"/>
      <c r="D3" s="582"/>
      <c r="E3" s="582"/>
      <c r="F3" s="546" t="s">
        <v>4</v>
      </c>
      <c r="G3" s="527"/>
      <c r="H3" s="527" t="str">
        <f>'справка №1-БАЛАНС'!H4</f>
        <v>1199-1</v>
      </c>
    </row>
    <row r="4" spans="1:8" ht="17.25" customHeight="1">
      <c r="A4" s="467" t="s">
        <v>5</v>
      </c>
      <c r="B4" s="583" t="str">
        <f>'справка №1-БАЛАНС'!E5</f>
        <v>01.01.2008-31.03.2008 година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f>3019-69</f>
        <v>2950</v>
      </c>
      <c r="D9" s="46">
        <v>2952</v>
      </c>
      <c r="E9" s="298" t="s">
        <v>285</v>
      </c>
      <c r="F9" s="549" t="s">
        <v>286</v>
      </c>
      <c r="G9" s="550">
        <v>12265</v>
      </c>
      <c r="H9" s="550">
        <v>10734</v>
      </c>
    </row>
    <row r="10" spans="1:8" ht="12">
      <c r="A10" s="298" t="s">
        <v>287</v>
      </c>
      <c r="B10" s="299" t="s">
        <v>288</v>
      </c>
      <c r="C10" s="46">
        <v>6480</v>
      </c>
      <c r="D10" s="46">
        <v>5380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409</v>
      </c>
      <c r="D11" s="46">
        <v>486</v>
      </c>
      <c r="E11" s="300" t="s">
        <v>293</v>
      </c>
      <c r="F11" s="549" t="s">
        <v>294</v>
      </c>
      <c r="G11" s="550">
        <v>103</v>
      </c>
      <c r="H11" s="550"/>
    </row>
    <row r="12" spans="1:8" ht="12">
      <c r="A12" s="298" t="s">
        <v>295</v>
      </c>
      <c r="B12" s="299" t="s">
        <v>296</v>
      </c>
      <c r="C12" s="46">
        <v>2022</v>
      </c>
      <c r="D12" s="46">
        <v>1326</v>
      </c>
      <c r="E12" s="300" t="s">
        <v>78</v>
      </c>
      <c r="F12" s="549" t="s">
        <v>297</v>
      </c>
      <c r="G12" s="550">
        <f>157+159</f>
        <v>316</v>
      </c>
      <c r="H12" s="550">
        <v>268</v>
      </c>
    </row>
    <row r="13" spans="1:18" ht="12">
      <c r="A13" s="298" t="s">
        <v>298</v>
      </c>
      <c r="B13" s="299" t="s">
        <v>299</v>
      </c>
      <c r="C13" s="46">
        <v>448</v>
      </c>
      <c r="D13" s="46">
        <v>329</v>
      </c>
      <c r="E13" s="301" t="s">
        <v>51</v>
      </c>
      <c r="F13" s="551" t="s">
        <v>300</v>
      </c>
      <c r="G13" s="548">
        <f>SUM(G9:G12)</f>
        <v>12684</v>
      </c>
      <c r="H13" s="548">
        <f>SUM(H9:H12)</f>
        <v>11002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f>78-15-8</f>
        <v>55</v>
      </c>
      <c r="D14" s="46">
        <v>146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f>11015-11980</f>
        <v>-965</v>
      </c>
      <c r="D15" s="47">
        <v>-223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f>481+2</f>
        <v>483</v>
      </c>
      <c r="D16" s="47">
        <v>128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191</v>
      </c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11882</v>
      </c>
      <c r="D19" s="49">
        <f>SUM(D9:D15)+D16</f>
        <v>10524</v>
      </c>
      <c r="E19" s="304" t="s">
        <v>317</v>
      </c>
      <c r="F19" s="552" t="s">
        <v>318</v>
      </c>
      <c r="G19" s="550">
        <v>362</v>
      </c>
      <c r="H19" s="550">
        <v>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345</v>
      </c>
      <c r="D22" s="46">
        <v>133</v>
      </c>
      <c r="E22" s="304" t="s">
        <v>326</v>
      </c>
      <c r="F22" s="552" t="s">
        <v>327</v>
      </c>
      <c r="G22" s="550">
        <f>302</f>
        <v>302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91</v>
      </c>
      <c r="H23" s="550">
        <v>51</v>
      </c>
    </row>
    <row r="24" spans="1:18" ht="12">
      <c r="A24" s="298" t="s">
        <v>332</v>
      </c>
      <c r="B24" s="305" t="s">
        <v>333</v>
      </c>
      <c r="C24" s="46">
        <v>88</v>
      </c>
      <c r="D24" s="46">
        <v>3</v>
      </c>
      <c r="E24" s="301" t="s">
        <v>103</v>
      </c>
      <c r="F24" s="554" t="s">
        <v>334</v>
      </c>
      <c r="G24" s="548">
        <f>SUM(G19:G23)</f>
        <v>755</v>
      </c>
      <c r="H24" s="548">
        <f>SUM(H19:H23)</f>
        <v>109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f>15-34</f>
        <v>-19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414</v>
      </c>
      <c r="D26" s="49">
        <f>SUM(D22:D25)</f>
        <v>136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12296</v>
      </c>
      <c r="D28" s="50">
        <f>D26+D19</f>
        <v>10660</v>
      </c>
      <c r="E28" s="127" t="s">
        <v>339</v>
      </c>
      <c r="F28" s="554" t="s">
        <v>340</v>
      </c>
      <c r="G28" s="548">
        <f>G13+G15+G24</f>
        <v>13439</v>
      </c>
      <c r="H28" s="548">
        <f>H13+H15+H24</f>
        <v>11111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1143</v>
      </c>
      <c r="D30" s="50">
        <f>IF((H28-D28)&gt;0,H28-D28,0)</f>
        <v>451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12296</v>
      </c>
      <c r="D33" s="49">
        <f>D28+D31+D32</f>
        <v>10660</v>
      </c>
      <c r="E33" s="127" t="s">
        <v>353</v>
      </c>
      <c r="F33" s="554" t="s">
        <v>354</v>
      </c>
      <c r="G33" s="53">
        <f>G32+G31+G28</f>
        <v>13439</v>
      </c>
      <c r="H33" s="53">
        <f>H32+H31+H28</f>
        <v>11111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1143</v>
      </c>
      <c r="D34" s="50">
        <f>IF((H33-D33)&gt;0,H33-D33,0)</f>
        <v>451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114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114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1029</v>
      </c>
      <c r="D39" s="460">
        <f>+IF((H33-D33-D35)&gt;0,H33-D33-D35,0)</f>
        <v>451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1029</v>
      </c>
      <c r="D41" s="52">
        <f>IF(H39=0,IF(D39-D40&gt;0,D39-D40+H40,0),IF(H39-H40&lt;0,H40-H39+D39,0))</f>
        <v>451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13439</v>
      </c>
      <c r="D42" s="53">
        <f>D33+D35+D39</f>
        <v>11111</v>
      </c>
      <c r="E42" s="128" t="s">
        <v>380</v>
      </c>
      <c r="F42" s="129" t="s">
        <v>381</v>
      </c>
      <c r="G42" s="53">
        <f>G39+G33</f>
        <v>13439</v>
      </c>
      <c r="H42" s="53">
        <f>H39+H33</f>
        <v>11111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861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885</v>
      </c>
      <c r="C48" s="427" t="s">
        <v>382</v>
      </c>
      <c r="D48" s="580"/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/>
      <c r="E50" s="581"/>
      <c r="F50" s="581"/>
      <c r="G50" s="581"/>
      <c r="H50" s="58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1"/>
  </sheetPr>
  <dimension ref="A1:M102"/>
  <sheetViews>
    <sheetView zoomScale="75" zoomScaleNormal="75" workbookViewId="0" topLeftCell="A7">
      <selection activeCell="C37" sqref="C3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1" t="s">
        <v>2</v>
      </c>
      <c r="D4" s="541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2" t="s">
        <v>4</v>
      </c>
      <c r="D5" s="541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01.01.2008-31.03.2008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56+8816+1265+52+3582+163</f>
        <v>13934</v>
      </c>
      <c r="D10" s="54">
        <v>11090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-2253-171-14239-24-80-30+5-234+20+620+1195</f>
        <v>-15191</v>
      </c>
      <c r="D11" s="54">
        <v>-11612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-714-876-559-121-43+3+2+5</f>
        <v>-2303</v>
      </c>
      <c r="D13" s="54">
        <v>-909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-82-329-24-2</f>
        <v>-437</v>
      </c>
      <c r="D14" s="54">
        <v>-220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f>-767</f>
        <v>-767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f>4+127</f>
        <v>131</v>
      </c>
      <c r="D16" s="54">
        <v>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f>-28-130-99-30-19-137</f>
        <v>-443</v>
      </c>
      <c r="D17" s="54">
        <v>-108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f>-10-3-28+302</f>
        <v>261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5949+137+951+1+2+43+4+13+7024+665+56649+8570+4+3+1673+3623+2015+1+88-665-539-951-43-5-538-253-29-3623-5949-56649-8570-3657-442-15-4-1673-7024-2015-4-15-4+4113-3+695</f>
        <v>-447</v>
      </c>
      <c r="D19" s="54">
        <v>482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-5262</v>
      </c>
      <c r="D20" s="55">
        <f>SUM(D10:D19)</f>
        <v>-1260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-1195</f>
        <v>-1195</v>
      </c>
      <c r="D22" s="54">
        <v>-41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5183</f>
        <v>5183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f>-142-2531-620</f>
        <v>-3293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f>-684-16</f>
        <v>-700</v>
      </c>
      <c r="D27" s="54">
        <v>-375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f>-4113</f>
        <v>-4113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-4118</v>
      </c>
      <c r="D32" s="55">
        <f>SUM(D22:D31)</f>
        <v>-416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f>15+7+6+1+19+263</f>
        <v>311</v>
      </c>
      <c r="D36" s="54">
        <v>2502</v>
      </c>
      <c r="E36" s="130"/>
      <c r="F36" s="130"/>
    </row>
    <row r="37" spans="1:6" ht="12">
      <c r="A37" s="332" t="s">
        <v>438</v>
      </c>
      <c r="B37" s="333" t="s">
        <v>439</v>
      </c>
      <c r="C37" s="54">
        <f>-118-54-68-42-50-1-2800-200-10-747-2555-235-253</f>
        <v>-7133</v>
      </c>
      <c r="D37" s="54">
        <v>-990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f>-207</f>
        <v>-207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-7029</v>
      </c>
      <c r="D42" s="55">
        <f>SUM(D34:D41)</f>
        <v>1512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-16409</v>
      </c>
      <c r="D43" s="55">
        <f>D42+D32+D20</f>
        <v>-164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29875</v>
      </c>
      <c r="D44" s="132">
        <v>2789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13466</v>
      </c>
      <c r="D45" s="55">
        <f>D44+D43</f>
        <v>2625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13466</v>
      </c>
      <c r="D46" s="56">
        <v>2625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1"/>
  </sheetPr>
  <dimension ref="A1:W537"/>
  <sheetViews>
    <sheetView workbookViewId="0" topLeftCell="A13">
      <selection activeCell="B39" sqref="B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"ЕНЕМОНА"АД, КОЗЛОДУЙ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,020955078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 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01.01.2008-31.03.2008 година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31600</v>
      </c>
      <c r="E11" s="58">
        <f>'справка №1-БАЛАНС'!H20</f>
        <v>5650</v>
      </c>
      <c r="F11" s="58">
        <f>'справка №1-БАЛАНС'!H22</f>
        <v>814</v>
      </c>
      <c r="G11" s="58">
        <f>'справка №1-БАЛАНС'!H23</f>
        <v>0</v>
      </c>
      <c r="H11" s="60">
        <v>1492</v>
      </c>
      <c r="I11" s="58">
        <f>'справка №1-БАЛАНС'!H28+'справка №1-БАЛАНС'!H31</f>
        <v>7871</v>
      </c>
      <c r="J11" s="58">
        <f>'справка №1-БАЛАНС'!H29+'справка №1-БАЛАНС'!H32</f>
        <v>0</v>
      </c>
      <c r="K11" s="60"/>
      <c r="L11" s="344">
        <f>SUM(C11:K11)</f>
        <v>59361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31600</v>
      </c>
      <c r="E15" s="61">
        <f t="shared" si="2"/>
        <v>5650</v>
      </c>
      <c r="F15" s="61">
        <f t="shared" si="2"/>
        <v>814</v>
      </c>
      <c r="G15" s="61">
        <f t="shared" si="2"/>
        <v>0</v>
      </c>
      <c r="H15" s="61">
        <f t="shared" si="2"/>
        <v>1492</v>
      </c>
      <c r="I15" s="61">
        <f t="shared" si="2"/>
        <v>7871</v>
      </c>
      <c r="J15" s="61">
        <f t="shared" si="2"/>
        <v>0</v>
      </c>
      <c r="K15" s="61">
        <f t="shared" si="2"/>
        <v>0</v>
      </c>
      <c r="L15" s="344">
        <f t="shared" si="1"/>
        <v>59361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1029</v>
      </c>
      <c r="J16" s="345">
        <f>+'справка №1-БАЛАНС'!G32</f>
        <v>0</v>
      </c>
      <c r="K16" s="60"/>
      <c r="L16" s="344">
        <f t="shared" si="1"/>
        <v>1029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11934</v>
      </c>
      <c r="D29" s="59">
        <f aca="true" t="shared" si="6" ref="D29:M29">D17+D20+D21+D24+D28+D27+D15+D16</f>
        <v>31600</v>
      </c>
      <c r="E29" s="59">
        <f t="shared" si="6"/>
        <v>5650</v>
      </c>
      <c r="F29" s="59">
        <f t="shared" si="6"/>
        <v>814</v>
      </c>
      <c r="G29" s="59">
        <f t="shared" si="6"/>
        <v>0</v>
      </c>
      <c r="H29" s="59">
        <f t="shared" si="6"/>
        <v>1492</v>
      </c>
      <c r="I29" s="59">
        <f t="shared" si="6"/>
        <v>8900</v>
      </c>
      <c r="J29" s="59">
        <f t="shared" si="6"/>
        <v>0</v>
      </c>
      <c r="K29" s="59">
        <f t="shared" si="6"/>
        <v>0</v>
      </c>
      <c r="L29" s="344">
        <f t="shared" si="1"/>
        <v>60390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11934</v>
      </c>
      <c r="D32" s="59">
        <f t="shared" si="7"/>
        <v>31600</v>
      </c>
      <c r="E32" s="59">
        <f t="shared" si="7"/>
        <v>5650</v>
      </c>
      <c r="F32" s="59">
        <f t="shared" si="7"/>
        <v>814</v>
      </c>
      <c r="G32" s="59">
        <f t="shared" si="7"/>
        <v>0</v>
      </c>
      <c r="H32" s="59">
        <f t="shared" si="7"/>
        <v>1492</v>
      </c>
      <c r="I32" s="59">
        <f t="shared" si="7"/>
        <v>8900</v>
      </c>
      <c r="J32" s="59">
        <f t="shared" si="7"/>
        <v>0</v>
      </c>
      <c r="K32" s="59">
        <f t="shared" si="7"/>
        <v>0</v>
      </c>
      <c r="L32" s="344">
        <f t="shared" si="1"/>
        <v>60390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887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1"/>
    <pageSetUpPr fitToPage="1"/>
  </sheetPr>
  <dimension ref="A1:AB232"/>
  <sheetViews>
    <sheetView zoomScale="75" zoomScaleNormal="75" workbookViewId="0" topLeftCell="A1">
      <selection activeCell="F49" sqref="F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"ЕНЕМОНА"АД, КОЗЛОДУЙ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01.01.2008-31.03.2008 година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1350</v>
      </c>
      <c r="E9" s="189">
        <v>61</v>
      </c>
      <c r="F9" s="189">
        <v>0</v>
      </c>
      <c r="G9" s="74">
        <f>D9+E9-F9</f>
        <v>1411</v>
      </c>
      <c r="H9" s="65"/>
      <c r="I9" s="65"/>
      <c r="J9" s="74">
        <f>G9+H9-I9</f>
        <v>1411</v>
      </c>
      <c r="K9" s="65">
        <v>0</v>
      </c>
      <c r="L9" s="65">
        <v>0</v>
      </c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1411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8900</v>
      </c>
      <c r="E10" s="189">
        <v>0</v>
      </c>
      <c r="F10" s="189">
        <v>0</v>
      </c>
      <c r="G10" s="74">
        <f aca="true" t="shared" si="2" ref="G10:G39">D10+E10-F10</f>
        <v>8900</v>
      </c>
      <c r="H10" s="65"/>
      <c r="I10" s="65"/>
      <c r="J10" s="74">
        <f aca="true" t="shared" si="3" ref="J10:J39">G10+H10-I10</f>
        <v>8900</v>
      </c>
      <c r="K10" s="65">
        <v>1156</v>
      </c>
      <c r="L10" s="65">
        <v>50</v>
      </c>
      <c r="M10" s="65"/>
      <c r="N10" s="74">
        <f aca="true" t="shared" si="4" ref="N10:N39">K10+L10-M10</f>
        <v>1206</v>
      </c>
      <c r="O10" s="65"/>
      <c r="P10" s="65"/>
      <c r="Q10" s="74">
        <f t="shared" si="0"/>
        <v>1206</v>
      </c>
      <c r="R10" s="74">
        <f t="shared" si="1"/>
        <v>7694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4830</v>
      </c>
      <c r="E11" s="189">
        <v>243</v>
      </c>
      <c r="F11" s="189">
        <v>0</v>
      </c>
      <c r="G11" s="74">
        <f t="shared" si="2"/>
        <v>5073</v>
      </c>
      <c r="H11" s="65"/>
      <c r="I11" s="65"/>
      <c r="J11" s="74">
        <f t="shared" si="3"/>
        <v>5073</v>
      </c>
      <c r="K11" s="65">
        <v>1749</v>
      </c>
      <c r="L11" s="65">
        <v>163</v>
      </c>
      <c r="M11" s="65"/>
      <c r="N11" s="74">
        <f t="shared" si="4"/>
        <v>1912</v>
      </c>
      <c r="O11" s="65"/>
      <c r="P11" s="65"/>
      <c r="Q11" s="74">
        <f t="shared" si="0"/>
        <v>1912</v>
      </c>
      <c r="R11" s="74">
        <f t="shared" si="1"/>
        <v>3161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4358</v>
      </c>
      <c r="E13" s="189">
        <v>227</v>
      </c>
      <c r="F13" s="189">
        <v>0</v>
      </c>
      <c r="G13" s="74">
        <f t="shared" si="2"/>
        <v>4585</v>
      </c>
      <c r="H13" s="65"/>
      <c r="I13" s="65"/>
      <c r="J13" s="74">
        <f t="shared" si="3"/>
        <v>4585</v>
      </c>
      <c r="K13" s="65">
        <v>1414</v>
      </c>
      <c r="L13" s="65">
        <v>95</v>
      </c>
      <c r="M13" s="65"/>
      <c r="N13" s="74">
        <f t="shared" si="4"/>
        <v>1509</v>
      </c>
      <c r="O13" s="65"/>
      <c r="P13" s="65"/>
      <c r="Q13" s="74">
        <f t="shared" si="0"/>
        <v>1509</v>
      </c>
      <c r="R13" s="74">
        <f t="shared" si="1"/>
        <v>3076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665</v>
      </c>
      <c r="E14" s="189">
        <v>36</v>
      </c>
      <c r="F14" s="189"/>
      <c r="G14" s="74">
        <f t="shared" si="2"/>
        <v>701</v>
      </c>
      <c r="H14" s="65"/>
      <c r="I14" s="65"/>
      <c r="J14" s="74">
        <f t="shared" si="3"/>
        <v>701</v>
      </c>
      <c r="K14" s="65">
        <v>271</v>
      </c>
      <c r="L14" s="65">
        <v>16</v>
      </c>
      <c r="M14" s="65"/>
      <c r="N14" s="74">
        <f t="shared" si="4"/>
        <v>287</v>
      </c>
      <c r="O14" s="65"/>
      <c r="P14" s="65"/>
      <c r="Q14" s="74">
        <f t="shared" si="0"/>
        <v>287</v>
      </c>
      <c r="R14" s="74">
        <f t="shared" si="1"/>
        <v>414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1208</v>
      </c>
      <c r="E15" s="457">
        <v>768</v>
      </c>
      <c r="F15" s="457">
        <v>34</v>
      </c>
      <c r="G15" s="74">
        <f t="shared" si="2"/>
        <v>1942</v>
      </c>
      <c r="H15" s="458"/>
      <c r="I15" s="458"/>
      <c r="J15" s="74">
        <f t="shared" si="3"/>
        <v>1942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1942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1955</v>
      </c>
      <c r="E16" s="189">
        <f>323+74+1</f>
        <v>398</v>
      </c>
      <c r="F16" s="189">
        <v>0</v>
      </c>
      <c r="G16" s="74">
        <f t="shared" si="2"/>
        <v>2353</v>
      </c>
      <c r="H16" s="65"/>
      <c r="I16" s="65"/>
      <c r="J16" s="74">
        <f t="shared" si="3"/>
        <v>2353</v>
      </c>
      <c r="K16" s="65">
        <v>624</v>
      </c>
      <c r="L16" s="65">
        <f>15+44</f>
        <v>59</v>
      </c>
      <c r="M16" s="65"/>
      <c r="N16" s="74">
        <f t="shared" si="4"/>
        <v>683</v>
      </c>
      <c r="O16" s="65"/>
      <c r="P16" s="65"/>
      <c r="Q16" s="74">
        <f aca="true" t="shared" si="5" ref="Q16:Q25">N16+O16-P16</f>
        <v>683</v>
      </c>
      <c r="R16" s="74">
        <f aca="true" t="shared" si="6" ref="R16:R25">J16-Q16</f>
        <v>1670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23266</v>
      </c>
      <c r="E17" s="194">
        <f>SUM(E9:E16)</f>
        <v>1733</v>
      </c>
      <c r="F17" s="194">
        <f>SUM(F9:F16)</f>
        <v>34</v>
      </c>
      <c r="G17" s="74">
        <f t="shared" si="2"/>
        <v>24965</v>
      </c>
      <c r="H17" s="75">
        <f>SUM(H9:H16)</f>
        <v>0</v>
      </c>
      <c r="I17" s="75">
        <f>SUM(I9:I16)</f>
        <v>0</v>
      </c>
      <c r="J17" s="74">
        <f t="shared" si="3"/>
        <v>24965</v>
      </c>
      <c r="K17" s="75">
        <f>SUM(K9:K16)</f>
        <v>5214</v>
      </c>
      <c r="L17" s="75">
        <f>SUM(L9:L16)</f>
        <v>383</v>
      </c>
      <c r="M17" s="75">
        <f>SUM(M9:M16)</f>
        <v>0</v>
      </c>
      <c r="N17" s="74">
        <f t="shared" si="4"/>
        <v>5597</v>
      </c>
      <c r="O17" s="75">
        <f>SUM(O9:O16)</f>
        <v>0</v>
      </c>
      <c r="P17" s="75">
        <f>SUM(P9:P16)</f>
        <v>0</v>
      </c>
      <c r="Q17" s="74">
        <f t="shared" si="5"/>
        <v>5597</v>
      </c>
      <c r="R17" s="74">
        <f t="shared" si="6"/>
        <v>19368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1431</v>
      </c>
      <c r="E21" s="189">
        <v>1</v>
      </c>
      <c r="F21" s="189">
        <v>0</v>
      </c>
      <c r="G21" s="74">
        <f t="shared" si="2"/>
        <v>1432</v>
      </c>
      <c r="H21" s="65"/>
      <c r="I21" s="65"/>
      <c r="J21" s="74">
        <f t="shared" si="3"/>
        <v>1432</v>
      </c>
      <c r="K21" s="65">
        <v>583</v>
      </c>
      <c r="L21" s="65">
        <v>15</v>
      </c>
      <c r="M21" s="65"/>
      <c r="N21" s="74">
        <f t="shared" si="4"/>
        <v>598</v>
      </c>
      <c r="O21" s="65"/>
      <c r="P21" s="65"/>
      <c r="Q21" s="74">
        <f t="shared" si="5"/>
        <v>598</v>
      </c>
      <c r="R21" s="74">
        <f t="shared" si="6"/>
        <v>834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286</v>
      </c>
      <c r="E22" s="189">
        <v>10</v>
      </c>
      <c r="F22" s="189">
        <v>0</v>
      </c>
      <c r="G22" s="74">
        <f t="shared" si="2"/>
        <v>296</v>
      </c>
      <c r="H22" s="65"/>
      <c r="I22" s="65"/>
      <c r="J22" s="74">
        <f t="shared" si="3"/>
        <v>296</v>
      </c>
      <c r="K22" s="65">
        <v>116</v>
      </c>
      <c r="L22" s="65">
        <v>10</v>
      </c>
      <c r="M22" s="65"/>
      <c r="N22" s="74">
        <f t="shared" si="4"/>
        <v>126</v>
      </c>
      <c r="O22" s="65"/>
      <c r="P22" s="65"/>
      <c r="Q22" s="74">
        <f t="shared" si="5"/>
        <v>126</v>
      </c>
      <c r="R22" s="74">
        <f t="shared" si="6"/>
        <v>170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1717</v>
      </c>
      <c r="E25" s="190">
        <f aca="true" t="shared" si="7" ref="E25:P25">SUM(E21:E24)</f>
        <v>11</v>
      </c>
      <c r="F25" s="190">
        <f t="shared" si="7"/>
        <v>0</v>
      </c>
      <c r="G25" s="67">
        <f t="shared" si="2"/>
        <v>1728</v>
      </c>
      <c r="H25" s="66">
        <f t="shared" si="7"/>
        <v>0</v>
      </c>
      <c r="I25" s="66">
        <f t="shared" si="7"/>
        <v>0</v>
      </c>
      <c r="J25" s="67">
        <f t="shared" si="3"/>
        <v>1728</v>
      </c>
      <c r="K25" s="66">
        <f t="shared" si="7"/>
        <v>699</v>
      </c>
      <c r="L25" s="66">
        <f t="shared" si="7"/>
        <v>25</v>
      </c>
      <c r="M25" s="66">
        <f t="shared" si="7"/>
        <v>0</v>
      </c>
      <c r="N25" s="67">
        <f t="shared" si="4"/>
        <v>724</v>
      </c>
      <c r="O25" s="66">
        <f t="shared" si="7"/>
        <v>0</v>
      </c>
      <c r="P25" s="66">
        <f t="shared" si="7"/>
        <v>0</v>
      </c>
      <c r="Q25" s="67">
        <f t="shared" si="5"/>
        <v>724</v>
      </c>
      <c r="R25" s="67">
        <f t="shared" si="6"/>
        <v>1004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6784</v>
      </c>
      <c r="E27" s="192">
        <f aca="true" t="shared" si="8" ref="E27:P27">SUM(E28:E31)</f>
        <v>684</v>
      </c>
      <c r="F27" s="192">
        <f t="shared" si="8"/>
        <v>0</v>
      </c>
      <c r="G27" s="71">
        <f t="shared" si="2"/>
        <v>7468</v>
      </c>
      <c r="H27" s="70">
        <f t="shared" si="8"/>
        <v>0</v>
      </c>
      <c r="I27" s="70">
        <f t="shared" si="8"/>
        <v>0</v>
      </c>
      <c r="J27" s="71">
        <f t="shared" si="3"/>
        <v>7468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7468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6766</v>
      </c>
      <c r="E28" s="189">
        <v>684</v>
      </c>
      <c r="F28" s="189">
        <v>0</v>
      </c>
      <c r="G28" s="74">
        <f t="shared" si="2"/>
        <v>7450</v>
      </c>
      <c r="H28" s="65"/>
      <c r="I28" s="65"/>
      <c r="J28" s="74">
        <f t="shared" si="3"/>
        <v>7450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7450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18</v>
      </c>
      <c r="E31" s="189">
        <v>0</v>
      </c>
      <c r="F31" s="189">
        <v>0</v>
      </c>
      <c r="G31" s="74">
        <f t="shared" si="2"/>
        <v>18</v>
      </c>
      <c r="H31" s="72"/>
      <c r="I31" s="72"/>
      <c r="J31" s="74">
        <f t="shared" si="3"/>
        <v>18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6784</v>
      </c>
      <c r="E38" s="194">
        <f aca="true" t="shared" si="12" ref="E38:P38">E27+E32+E37</f>
        <v>684</v>
      </c>
      <c r="F38" s="194">
        <f t="shared" si="12"/>
        <v>0</v>
      </c>
      <c r="G38" s="74">
        <f t="shared" si="2"/>
        <v>7468</v>
      </c>
      <c r="H38" s="75">
        <f t="shared" si="12"/>
        <v>0</v>
      </c>
      <c r="I38" s="75">
        <f t="shared" si="12"/>
        <v>0</v>
      </c>
      <c r="J38" s="74">
        <f t="shared" si="3"/>
        <v>7468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7468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31767</v>
      </c>
      <c r="E40" s="438">
        <f>E17+E18+E19+E25+E38+E39</f>
        <v>2428</v>
      </c>
      <c r="F40" s="438">
        <f aca="true" t="shared" si="13" ref="F40:R40">F17+F18+F19+F25+F38+F39</f>
        <v>34</v>
      </c>
      <c r="G40" s="438">
        <f t="shared" si="13"/>
        <v>34161</v>
      </c>
      <c r="H40" s="438">
        <f t="shared" si="13"/>
        <v>0</v>
      </c>
      <c r="I40" s="438">
        <f t="shared" si="13"/>
        <v>0</v>
      </c>
      <c r="J40" s="438">
        <f t="shared" si="13"/>
        <v>34161</v>
      </c>
      <c r="K40" s="438">
        <f t="shared" si="13"/>
        <v>5913</v>
      </c>
      <c r="L40" s="438">
        <f t="shared" si="13"/>
        <v>408</v>
      </c>
      <c r="M40" s="438">
        <f t="shared" si="13"/>
        <v>0</v>
      </c>
      <c r="N40" s="438">
        <f t="shared" si="13"/>
        <v>6321</v>
      </c>
      <c r="O40" s="438">
        <f t="shared" si="13"/>
        <v>0</v>
      </c>
      <c r="P40" s="438">
        <f t="shared" si="13"/>
        <v>0</v>
      </c>
      <c r="Q40" s="438">
        <f t="shared" si="13"/>
        <v>6321</v>
      </c>
      <c r="R40" s="438">
        <f t="shared" si="13"/>
        <v>27840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31"/>
  </sheetPr>
  <dimension ref="A1:AA115"/>
  <sheetViews>
    <sheetView workbookViewId="0" topLeftCell="A88">
      <selection activeCell="B114" sqref="B11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"ЕНЕМОНА"АД, КОЗЛОДУЙ</v>
      </c>
      <c r="C3" s="624"/>
      <c r="D3" s="526" t="s">
        <v>2</v>
      </c>
      <c r="E3" s="107" t="str">
        <f>'справка №1-БАЛАНС'!H3</f>
        <v>,020955078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01.01.2008-31.03.2008 година</v>
      </c>
      <c r="C4" s="622"/>
      <c r="D4" s="527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35</v>
      </c>
      <c r="D11" s="119">
        <f>SUM(D12:D14)</f>
        <v>0</v>
      </c>
      <c r="E11" s="120">
        <f>SUM(E12:E14)</f>
        <v>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35</v>
      </c>
      <c r="D12" s="108"/>
      <c r="E12" s="120">
        <f aca="true" t="shared" si="0" ref="E12:E42">C12-D12</f>
        <v>35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1443-35</f>
        <v>1408</v>
      </c>
      <c r="D15" s="108"/>
      <c r="E15" s="120">
        <f t="shared" si="0"/>
        <v>1408</v>
      </c>
      <c r="F15" s="106"/>
    </row>
    <row r="16" spans="1:15" ht="12">
      <c r="A16" s="396" t="s">
        <v>630</v>
      </c>
      <c r="B16" s="397" t="s">
        <v>631</v>
      </c>
      <c r="C16" s="119">
        <f>+C17+C18</f>
        <v>1701</v>
      </c>
      <c r="D16" s="119">
        <f>+D17+D18</f>
        <v>0</v>
      </c>
      <c r="E16" s="120">
        <f t="shared" si="0"/>
        <v>1701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1701</v>
      </c>
      <c r="D18" s="108"/>
      <c r="E18" s="120">
        <f t="shared" si="0"/>
        <v>1701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3144</v>
      </c>
      <c r="D19" s="104">
        <f>D11+D15+D16</f>
        <v>0</v>
      </c>
      <c r="E19" s="118">
        <f>E11+E15+E16</f>
        <v>3144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1581</v>
      </c>
      <c r="D24" s="119">
        <f>SUM(D25:D27)</f>
        <v>1581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979</v>
      </c>
      <c r="D25" s="108">
        <v>979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602</v>
      </c>
      <c r="D26" s="108">
        <v>602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15964</v>
      </c>
      <c r="D28" s="108">
        <v>15964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3046</v>
      </c>
      <c r="D29" s="108">
        <v>3046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3452-979</f>
        <v>2473</v>
      </c>
      <c r="D30" s="108">
        <v>2473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69</v>
      </c>
      <c r="D33" s="105">
        <f>SUM(D34:D37)</f>
        <v>69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64</v>
      </c>
      <c r="D36" s="108">
        <v>64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5</v>
      </c>
      <c r="D37" s="108">
        <v>5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8380</v>
      </c>
      <c r="D38" s="105">
        <f>SUM(D39:D42)</f>
        <v>8380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8380</v>
      </c>
      <c r="D42" s="108">
        <v>8380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31523</v>
      </c>
      <c r="D43" s="104">
        <f>D24+D28+D29+D31+D30+D32+D33+D38</f>
        <v>31523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34667</v>
      </c>
      <c r="D44" s="103">
        <f>D43+D21+D19+D9</f>
        <v>31523</v>
      </c>
      <c r="E44" s="118">
        <f>E43+E21+E19+E9</f>
        <v>3144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34</v>
      </c>
      <c r="D52" s="103">
        <f>SUM(D53:D55)</f>
        <v>0</v>
      </c>
      <c r="E52" s="119">
        <f>C52-D52</f>
        <v>34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34</v>
      </c>
      <c r="D55" s="108"/>
      <c r="E55" s="119">
        <f t="shared" si="1"/>
        <v>34</v>
      </c>
      <c r="F55" s="108"/>
    </row>
    <row r="56" spans="1:16" ht="24">
      <c r="A56" s="396" t="s">
        <v>695</v>
      </c>
      <c r="B56" s="397" t="s">
        <v>696</v>
      </c>
      <c r="C56" s="103">
        <f>C57+C59</f>
        <v>445</v>
      </c>
      <c r="D56" s="103">
        <f>D57+D59</f>
        <v>0</v>
      </c>
      <c r="E56" s="119">
        <f t="shared" si="1"/>
        <v>445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445</v>
      </c>
      <c r="D57" s="108"/>
      <c r="E57" s="119">
        <f t="shared" si="1"/>
        <v>445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12743</v>
      </c>
      <c r="D63" s="108"/>
      <c r="E63" s="119">
        <f t="shared" si="1"/>
        <v>12743</v>
      </c>
      <c r="F63" s="110"/>
    </row>
    <row r="64" spans="1:6" ht="12">
      <c r="A64" s="396" t="s">
        <v>708</v>
      </c>
      <c r="B64" s="397" t="s">
        <v>709</v>
      </c>
      <c r="C64" s="108">
        <v>1616</v>
      </c>
      <c r="D64" s="108"/>
      <c r="E64" s="119">
        <f t="shared" si="1"/>
        <v>1616</v>
      </c>
      <c r="F64" s="110"/>
    </row>
    <row r="65" spans="1:6" ht="12">
      <c r="A65" s="396" t="s">
        <v>710</v>
      </c>
      <c r="B65" s="397" t="s">
        <v>711</v>
      </c>
      <c r="C65" s="109">
        <v>1616</v>
      </c>
      <c r="D65" s="109"/>
      <c r="E65" s="119">
        <f t="shared" si="1"/>
        <v>1616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14838</v>
      </c>
      <c r="D66" s="103">
        <f>D52+D56+D61+D62+D63+D64</f>
        <v>0</v>
      </c>
      <c r="E66" s="119">
        <f t="shared" si="1"/>
        <v>14838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4171</v>
      </c>
      <c r="D71" s="105">
        <f>SUM(D72:D74)</f>
        <v>4171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307</v>
      </c>
      <c r="D72" s="108">
        <v>307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3864</v>
      </c>
      <c r="D74" s="108">
        <v>3864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9099</v>
      </c>
      <c r="D75" s="103">
        <f>D76+D78</f>
        <v>9099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9099</v>
      </c>
      <c r="D76" s="108">
        <v>9099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410</v>
      </c>
      <c r="D80" s="103">
        <f>SUM(D81:D84)</f>
        <v>410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410</v>
      </c>
      <c r="D84" s="108">
        <v>410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9441</v>
      </c>
      <c r="D85" s="104">
        <f>SUM(D86:D90)+D94</f>
        <v>9441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2970</v>
      </c>
      <c r="D87" s="108">
        <v>2970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5422</v>
      </c>
      <c r="D88" s="108">
        <v>5422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579</v>
      </c>
      <c r="D89" s="108">
        <v>579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213</v>
      </c>
      <c r="D90" s="103">
        <f>SUM(D91:D93)</f>
        <v>213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114</v>
      </c>
      <c r="D91" s="108">
        <v>114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34</v>
      </c>
      <c r="D92" s="108">
        <v>34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65</v>
      </c>
      <c r="D93" s="108">
        <v>65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257</v>
      </c>
      <c r="D94" s="108">
        <v>257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278</v>
      </c>
      <c r="D95" s="108">
        <v>278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23399</v>
      </c>
      <c r="D96" s="104">
        <f>D85+D80+D75+D71+D95</f>
        <v>23399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38237</v>
      </c>
      <c r="D97" s="104">
        <f>D96+D68+D66</f>
        <v>23399</v>
      </c>
      <c r="E97" s="104">
        <f>E96+E68+E66</f>
        <v>14838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442</v>
      </c>
      <c r="D104" s="108">
        <v>13</v>
      </c>
      <c r="E104" s="108">
        <v>55</v>
      </c>
      <c r="F104" s="125">
        <f>C104+D104-E104</f>
        <v>400</v>
      </c>
    </row>
    <row r="105" spans="1:16" ht="12">
      <c r="A105" s="412" t="s">
        <v>778</v>
      </c>
      <c r="B105" s="395" t="s">
        <v>779</v>
      </c>
      <c r="C105" s="103">
        <f>SUM(C102:C104)</f>
        <v>442</v>
      </c>
      <c r="D105" s="103">
        <f>SUM(D102:D104)</f>
        <v>13</v>
      </c>
      <c r="E105" s="103">
        <f>SUM(E102:E104)</f>
        <v>55</v>
      </c>
      <c r="F105" s="103">
        <f>SUM(F102:F104)</f>
        <v>400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884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31"/>
  </sheetPr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8"/>
      <c r="B2" s="579"/>
      <c r="C2" s="418"/>
      <c r="D2" s="421"/>
      <c r="E2" s="418"/>
      <c r="F2" s="418"/>
      <c r="G2" s="418"/>
      <c r="H2" s="416"/>
      <c r="I2" s="416"/>
    </row>
    <row r="3" spans="1:9" ht="12">
      <c r="A3" s="578"/>
      <c r="B3" s="579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"ЕНЕМОНА"АД, КОЗЛОДУЙ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,020955078</v>
      </c>
    </row>
    <row r="5" spans="1:9" ht="15">
      <c r="A5" s="501" t="s">
        <v>5</v>
      </c>
      <c r="B5" s="626" t="str">
        <f>'справка №1-БАЛАНС'!E5</f>
        <v>01.01.2008-31.03.2008 година</v>
      </c>
      <c r="C5" s="626"/>
      <c r="D5" s="626"/>
      <c r="E5" s="626"/>
      <c r="F5" s="626"/>
      <c r="G5" s="629" t="s">
        <v>4</v>
      </c>
      <c r="H5" s="630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7465169</v>
      </c>
      <c r="D12" s="98"/>
      <c r="E12" s="98"/>
      <c r="F12" s="98">
        <v>7465</v>
      </c>
      <c r="G12" s="98"/>
      <c r="H12" s="98"/>
      <c r="I12" s="434">
        <f>F12+G12-H12</f>
        <v>7465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25</v>
      </c>
      <c r="D16" s="98"/>
      <c r="E16" s="98"/>
      <c r="F16" s="98">
        <v>3</v>
      </c>
      <c r="G16" s="98"/>
      <c r="H16" s="98"/>
      <c r="I16" s="434">
        <f t="shared" si="0"/>
        <v>3</v>
      </c>
    </row>
    <row r="17" spans="1:9" s="521" customFormat="1" ht="12">
      <c r="A17" s="91" t="s">
        <v>565</v>
      </c>
      <c r="B17" s="92" t="s">
        <v>801</v>
      </c>
      <c r="C17" s="85">
        <f aca="true" t="shared" si="1" ref="C17:H17">C12+C13+C15+C16</f>
        <v>7465194</v>
      </c>
      <c r="D17" s="85">
        <f t="shared" si="1"/>
        <v>0</v>
      </c>
      <c r="E17" s="85">
        <f t="shared" si="1"/>
        <v>0</v>
      </c>
      <c r="F17" s="85">
        <f t="shared" si="1"/>
        <v>7468</v>
      </c>
      <c r="G17" s="85">
        <f t="shared" si="1"/>
        <v>0</v>
      </c>
      <c r="H17" s="85">
        <f t="shared" si="1"/>
        <v>0</v>
      </c>
      <c r="I17" s="434">
        <f t="shared" si="0"/>
        <v>7468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8"/>
      <c r="C30" s="628"/>
      <c r="D30" s="459" t="s">
        <v>818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31"/>
  </sheetPr>
  <dimension ref="A1:P154"/>
  <sheetViews>
    <sheetView workbookViewId="0" topLeftCell="A124">
      <selection activeCell="A154" sqref="A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"ЕНЕМОНА"АД, КОЗЛОДУЙ</v>
      </c>
      <c r="C5" s="632"/>
      <c r="D5" s="632"/>
      <c r="E5" s="570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33" t="str">
        <f>'справка №1-БАЛАНС'!E5</f>
        <v>01.01.2008-31.03.2008 година</v>
      </c>
      <c r="C6" s="633"/>
      <c r="D6" s="510"/>
      <c r="E6" s="569" t="s">
        <v>4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575" t="s">
        <v>867</v>
      </c>
      <c r="B12" s="37"/>
      <c r="C12" s="441">
        <v>5499</v>
      </c>
      <c r="D12" s="441"/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250</v>
      </c>
      <c r="D13" s="441"/>
      <c r="E13" s="441"/>
      <c r="F13" s="443">
        <f aca="true" t="shared" si="0" ref="F13:F26">C13-E13</f>
        <v>250</v>
      </c>
    </row>
    <row r="14" spans="1:6" ht="12.75">
      <c r="A14" s="36" t="s">
        <v>869</v>
      </c>
      <c r="B14" s="37"/>
      <c r="C14" s="441">
        <v>1061</v>
      </c>
      <c r="D14" s="441"/>
      <c r="E14" s="441"/>
      <c r="F14" s="443">
        <f t="shared" si="0"/>
        <v>1061</v>
      </c>
    </row>
    <row r="15" spans="1:6" ht="12.75">
      <c r="A15" s="36" t="s">
        <v>870</v>
      </c>
      <c r="B15" s="37"/>
      <c r="C15" s="441">
        <v>25</v>
      </c>
      <c r="D15" s="441"/>
      <c r="E15" s="441"/>
      <c r="F15" s="443">
        <f t="shared" si="0"/>
        <v>25</v>
      </c>
    </row>
    <row r="16" spans="1:6" ht="12.75">
      <c r="A16" s="36" t="s">
        <v>873</v>
      </c>
      <c r="B16" s="37"/>
      <c r="C16" s="441">
        <v>3</v>
      </c>
      <c r="D16" s="441"/>
      <c r="E16" s="441"/>
      <c r="F16" s="443">
        <f t="shared" si="0"/>
        <v>3</v>
      </c>
    </row>
    <row r="17" spans="1:6" ht="12.75">
      <c r="A17" s="36" t="s">
        <v>874</v>
      </c>
      <c r="B17" s="37"/>
      <c r="C17" s="441">
        <v>43</v>
      </c>
      <c r="D17" s="441"/>
      <c r="E17" s="441"/>
      <c r="F17" s="443">
        <f t="shared" si="0"/>
        <v>43</v>
      </c>
    </row>
    <row r="18" spans="1:6" ht="12.75">
      <c r="A18" s="36" t="s">
        <v>875</v>
      </c>
      <c r="B18" s="37"/>
      <c r="C18" s="441">
        <v>450</v>
      </c>
      <c r="D18" s="441"/>
      <c r="E18" s="441"/>
      <c r="F18" s="443">
        <f t="shared" si="0"/>
        <v>450</v>
      </c>
    </row>
    <row r="19" spans="1:6" ht="12.75">
      <c r="A19" s="36" t="s">
        <v>876</v>
      </c>
      <c r="B19" s="37"/>
      <c r="C19" s="441">
        <v>25</v>
      </c>
      <c r="D19" s="441"/>
      <c r="E19" s="441"/>
      <c r="F19" s="443">
        <f t="shared" si="0"/>
        <v>25</v>
      </c>
    </row>
    <row r="20" spans="1:6" ht="12.75">
      <c r="A20" s="36" t="s">
        <v>877</v>
      </c>
      <c r="B20" s="37"/>
      <c r="C20" s="441">
        <v>45</v>
      </c>
      <c r="D20" s="441"/>
      <c r="E20" s="441"/>
      <c r="F20" s="443">
        <f t="shared" si="0"/>
        <v>45</v>
      </c>
    </row>
    <row r="21" spans="1:6" ht="12.75">
      <c r="A21" s="36" t="s">
        <v>878</v>
      </c>
      <c r="B21" s="37"/>
      <c r="C21" s="441">
        <v>4</v>
      </c>
      <c r="D21" s="441"/>
      <c r="E21" s="441"/>
      <c r="F21" s="443">
        <f t="shared" si="0"/>
        <v>4</v>
      </c>
    </row>
    <row r="22" spans="1:6" ht="12.75">
      <c r="A22" s="36" t="s">
        <v>879</v>
      </c>
      <c r="B22" s="37"/>
      <c r="C22" s="441">
        <v>45</v>
      </c>
      <c r="D22" s="441"/>
      <c r="E22" s="441"/>
      <c r="F22" s="443">
        <f t="shared" si="0"/>
        <v>45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7450</v>
      </c>
      <c r="D27" s="429"/>
      <c r="E27" s="429">
        <f>SUM(E12:E26)</f>
        <v>0</v>
      </c>
      <c r="F27" s="442">
        <f>SUM(F12:F26)</f>
        <v>7450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880</v>
      </c>
      <c r="B64" s="40"/>
      <c r="C64" s="441">
        <v>8</v>
      </c>
      <c r="D64" s="441"/>
      <c r="E64" s="441"/>
      <c r="F64" s="443">
        <f aca="true" t="shared" si="3" ref="F64:F77">C64-E64</f>
        <v>8</v>
      </c>
    </row>
    <row r="65" spans="1:6" ht="12.75">
      <c r="A65" s="36" t="s">
        <v>881</v>
      </c>
      <c r="B65" s="40"/>
      <c r="C65" s="441">
        <v>3</v>
      </c>
      <c r="D65" s="441"/>
      <c r="E65" s="441"/>
      <c r="F65" s="443">
        <f t="shared" si="3"/>
        <v>3</v>
      </c>
    </row>
    <row r="66" spans="1:6" ht="12.75">
      <c r="A66" s="36" t="s">
        <v>882</v>
      </c>
      <c r="B66" s="40"/>
      <c r="C66" s="441">
        <v>4</v>
      </c>
      <c r="D66" s="441"/>
      <c r="E66" s="441"/>
      <c r="F66" s="443">
        <f t="shared" si="3"/>
        <v>4</v>
      </c>
    </row>
    <row r="67" spans="1:6" ht="12.75">
      <c r="A67" s="36" t="s">
        <v>883</v>
      </c>
      <c r="B67" s="37"/>
      <c r="C67" s="441">
        <v>1</v>
      </c>
      <c r="D67" s="441"/>
      <c r="E67" s="441"/>
      <c r="F67" s="443">
        <f t="shared" si="3"/>
        <v>1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18</v>
      </c>
      <c r="D78" s="429"/>
      <c r="E78" s="429">
        <f>SUM(E63:E77)</f>
        <v>0</v>
      </c>
      <c r="F78" s="442">
        <f>SUM(F63:F77)</f>
        <v>18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7468</v>
      </c>
      <c r="D79" s="429"/>
      <c r="E79" s="429">
        <f>E78+E61+E44+E27</f>
        <v>0</v>
      </c>
      <c r="F79" s="442">
        <f>F78+F61+F44+F27</f>
        <v>7468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7"/>
        <v>0</v>
      </c>
    </row>
    <row r="136" spans="1:6" ht="12.75">
      <c r="A136" s="36"/>
      <c r="B136" s="40"/>
      <c r="C136" s="441"/>
      <c r="D136" s="441"/>
      <c r="E136" s="441"/>
      <c r="F136" s="443">
        <f t="shared" si="7"/>
        <v>0</v>
      </c>
    </row>
    <row r="137" spans="1:6" ht="12.75">
      <c r="A137" s="36"/>
      <c r="B137" s="37"/>
      <c r="C137" s="441"/>
      <c r="D137" s="441"/>
      <c r="E137" s="441"/>
      <c r="F137" s="443">
        <f t="shared" si="7"/>
        <v>0</v>
      </c>
    </row>
    <row r="138" spans="1:6" ht="12.75">
      <c r="A138" s="36"/>
      <c r="B138" s="37"/>
      <c r="C138" s="441"/>
      <c r="D138" s="441"/>
      <c r="E138" s="441"/>
      <c r="F138" s="443">
        <f t="shared" si="7"/>
        <v>0</v>
      </c>
    </row>
    <row r="139" spans="1:6" ht="12.75">
      <c r="A139" s="36"/>
      <c r="B139" s="37"/>
      <c r="C139" s="441"/>
      <c r="D139" s="441"/>
      <c r="E139" s="441"/>
      <c r="F139" s="443">
        <f t="shared" si="7"/>
        <v>0</v>
      </c>
    </row>
    <row r="140" spans="1:6" ht="12.75">
      <c r="A140" s="36"/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34" t="s">
        <v>848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856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</cp:lastModifiedBy>
  <cp:lastPrinted>2008-04-21T11:42:16Z</cp:lastPrinted>
  <dcterms:created xsi:type="dcterms:W3CDTF">2000-06-29T12:02:40Z</dcterms:created>
  <dcterms:modified xsi:type="dcterms:W3CDTF">2008-04-24T10:58:10Z</dcterms:modified>
  <cp:category/>
  <cp:version/>
  <cp:contentType/>
  <cp:contentStatus/>
</cp:coreProperties>
</file>