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<sst xmlns="http://schemas.openxmlformats.org/spreadsheetml/2006/main" count="4179" uniqueCount="974">
  <si>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</si>
  <si>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</si>
  <si>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</si>
  <si>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</si>
  <si>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</si>
  <si>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</si>
  <si>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</si>
  <si>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</si>
  <si>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</si>
  <si>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</si>
  <si>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</si>
  <si>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</si>
  <si>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</si>
  <si>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</si>
  <si>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</si>
  <si>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</si>
  <si>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</si>
  <si>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</si>
  <si>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</si>
  <si>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</si>
  <si>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</si>
  <si>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</si>
  <si>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</si>
  <si>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</si>
  <si>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</si>
  <si>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</si>
  <si>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</si>
  <si>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</si>
  <si>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</si>
  <si>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</si>
  <si>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</si>
  <si>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</si>
  <si>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</si>
  <si>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</si>
  <si>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</si>
  <si>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</si>
  <si>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</si>
  <si>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</si>
  <si>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</si>
  <si>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</si>
  <si>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</si>
  <si>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</si>
  <si>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</si>
  <si>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</si>
  <si>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</si>
  <si>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</si>
  <si>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</si>
  <si>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</si>
  <si>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</si>
  <si>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</si>
  <si>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</si>
  <si>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</si>
  <si>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</si>
  <si>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</si>
  <si>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</si>
  <si>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</si>
  <si>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</si>
  <si>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</si>
  <si>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</si>
  <si>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</si>
  <si>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</si>
  <si>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</si>
  <si>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</si>
  <si>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</si>
  <si>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</si>
  <si>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</si>
  <si>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</si>
  <si>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</si>
  <si>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</si>
  <si>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</si>
  <si>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</si>
  <si>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</si>
  <si>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</si>
  <si>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</si>
  <si>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</si>
  <si>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</si>
  <si>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</si>
  <si>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</si>
  <si>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</si>
  <si>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</si>
  <si>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</si>
  <si>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</si>
  <si>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</si>
  <si>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</si>
  <si>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</si>
  <si>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</si>
  <si>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</si>
  <si>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</si>
  <si>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</si>
  <si>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</si>
  <si>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</si>
  <si>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</si>
  <si>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</si>
  <si>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</si>
  <si>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</si>
  <si>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</si>
  <si>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</si>
  <si>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</si>
  <si>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</si>
  <si>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</si>
  <si>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</si>
  <si>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</si>
  <si>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</si>
  <si>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</si>
  <si>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</si>
  <si>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</si>
  <si>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</si>
  <si>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</si>
  <si>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</si>
  <si>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</si>
  <si>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</si>
  <si>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</si>
  <si>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</si>
  <si>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</si>
  <si>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</si>
  <si>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</si>
  <si>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</si>
  <si>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</si>
  <si>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</si>
  <si>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</si>
  <si>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</si>
  <si>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</si>
  <si>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</si>
  <si>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</si>
  <si>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</si>
  <si>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</si>
  <si>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</si>
  <si>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</si>
  <si>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</si>
  <si>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</si>
  <si>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</si>
  <si>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</si>
  <si>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</si>
  <si>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</si>
  <si>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</si>
  <si>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</si>
  <si>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</si>
  <si>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</si>
  <si>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</si>
  <si>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</si>
  <si>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</si>
  <si>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</si>
  <si>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</si>
  <si>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</si>
  <si>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</si>
  <si>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</si>
  <si>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</si>
  <si>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</si>
  <si>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</si>
  <si>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</si>
  <si>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</si>
  <si>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</si>
  <si>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</si>
  <si>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</si>
  <si>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</si>
  <si>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</si>
  <si>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</si>
  <si>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</si>
  <si>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</si>
  <si>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</si>
  <si>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</si>
  <si>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</si>
  <si>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</si>
  <si>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</si>
  <si>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</si>
  <si>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</si>
  <si>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</si>
  <si>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</si>
  <si>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</si>
  <si>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</si>
  <si>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</si>
  <si>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</si>
  <si>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</si>
  <si>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</si>
  <si>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</si>
  <si>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</si>
  <si>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</si>
  <si>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</si>
  <si>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</si>
  <si>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</si>
  <si>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</si>
  <si>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</si>
  <si>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</si>
  <si>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</si>
  <si>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</si>
  <si>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</si>
  <si>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</si>
  <si>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</si>
  <si>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</si>
  <si>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</si>
  <si>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</si>
  <si>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</si>
  <si>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</si>
  <si>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</si>
  <si>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</si>
  <si>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</si>
  <si>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</si>
  <si>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</si>
  <si>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</si>
  <si>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</si>
  <si>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</si>
  <si>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</si>
  <si>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</si>
  <si>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</si>
  <si>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</si>
  <si>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</si>
  <si>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</si>
  <si>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</si>
  <si>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</si>
  <si>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</si>
  <si>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</si>
  <si>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</si>
  <si>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</si>
  <si>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</si>
  <si>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</si>
  <si>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</si>
  <si>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</si>
  <si>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</si>
  <si>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</si>
  <si>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</si>
  <si>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</si>
  <si>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</si>
  <si>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</si>
  <si>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</si>
  <si>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</si>
  <si>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</si>
  <si>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</si>
  <si>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</si>
  <si>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</si>
  <si>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</si>
  <si>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</si>
  <si>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</si>
  <si>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</si>
  <si>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</si>
  <si>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</si>
  <si>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</si>
  <si>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</si>
  <si>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</si>
  <si>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</si>
  <si>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</si>
  <si>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</si>
  <si>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</si>
  <si>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</si>
  <si>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</si>
  <si>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</si>
  <si>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</si>
  <si>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</si>
  <si>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</si>
  <si>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</si>
  <si>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</si>
  <si>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</si>
  <si>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</si>
  <si>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</si>
  <si>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</si>
  <si>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</si>
  <si>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</si>
  <si>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</si>
  <si>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</si>
  <si>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</si>
  <si>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</si>
  <si>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</si>
  <si>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</si>
  <si>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</si>
  <si>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</si>
  <si>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</si>
  <si>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</si>
  <si>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</si>
  <si>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</si>
  <si>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</si>
  <si>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</si>
  <si>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</si>
  <si>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</si>
  <si>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</si>
  <si>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</si>
  <si>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</si>
  <si>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</si>
  <si>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</si>
  <si>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</si>
  <si>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</si>
  <si>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</si>
  <si>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</si>
  <si>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</si>
  <si>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</si>
  <si>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</si>
  <si>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</si>
  <si>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</si>
  <si>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</si>
  <si>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</si>
  <si>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</si>
  <si>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</si>
  <si>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</si>
  <si>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</si>
  <si>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</si>
  <si>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</si>
  <si>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</si>
  <si>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</si>
  <si>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</si>
  <si>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</si>
  <si>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</si>
  <si>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</si>
  <si>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</si>
  <si>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</si>
  <si>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</si>
  <si>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</si>
  <si>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</si>
  <si>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</si>
  <si>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</si>
  <si>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</si>
  <si>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</si>
  <si>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</si>
  <si>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</si>
  <si>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</si>
  <si>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</si>
  <si>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</si>
  <si>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</si>
  <si>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</si>
  <si>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</si>
  <si>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</si>
  <si>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</si>
  <si>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</si>
  <si>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</si>
  <si>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</si>
  <si>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</si>
  <si>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</si>
  <si>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</si>
  <si>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</si>
  <si>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</si>
  <si>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</si>
  <si>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</si>
  <si>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</si>
  <si>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</si>
  <si>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</si>
  <si>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</si>
  <si>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</si>
  <si>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</si>
  <si>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</si>
  <si>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</si>
  <si>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</si>
  <si>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</si>
  <si>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</si>
  <si>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</si>
  <si>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</si>
  <si>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</si>
  <si>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</si>
  <si>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</si>
  <si>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</si>
  <si>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</si>
  <si>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</si>
  <si>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</si>
  <si>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</si>
  <si>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</si>
  <si>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</si>
  <si>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</si>
  <si>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</si>
  <si>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</si>
  <si>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</si>
  <si>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</si>
  <si>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</si>
  <si>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</si>
  <si>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</si>
  <si>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</si>
  <si>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</si>
  <si>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</si>
  <si>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</si>
  <si>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</si>
  <si>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</si>
  <si>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</si>
  <si>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</si>
  <si>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</si>
  <si>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</si>
  <si>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</si>
  <si>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</si>
  <si>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</si>
  <si>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</si>
  <si>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</si>
  <si>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</si>
  <si>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</si>
  <si>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</si>
  <si>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</si>
  <si>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</si>
  <si>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</si>
  <si>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</si>
  <si>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</si>
  <si>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</si>
  <si>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</si>
  <si>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</si>
  <si>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</si>
  <si>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</si>
  <si>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</si>
  <si>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</si>
  <si>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</si>
  <si>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</si>
  <si>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</si>
  <si>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</si>
  <si>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</si>
  <si>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</si>
  <si>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</si>
  <si>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</si>
  <si>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</si>
  <si>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</si>
  <si>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</si>
  <si>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</si>
  <si>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</si>
  <si>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</si>
  <si>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</si>
  <si>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</si>
  <si>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</si>
  <si>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</si>
  <si>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</si>
  <si>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</si>
  <si>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</si>
  <si>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</si>
  <si>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</si>
  <si>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</si>
  <si>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</si>
  <si>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</si>
  <si>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</si>
  <si>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</si>
  <si>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</si>
  <si>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</si>
  <si>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</si>
  <si>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</si>
  <si>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</si>
  <si>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</si>
  <si>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</si>
  <si>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</si>
  <si>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</si>
  <si>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</si>
  <si>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</si>
  <si>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</si>
  <si>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</si>
  <si>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</si>
  <si>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</si>
  <si>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</si>
  <si>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</si>
  <si>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</si>
  <si>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</si>
  <si>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</si>
  <si>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</si>
  <si>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</si>
  <si>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</si>
  <si>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</si>
  <si>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</si>
  <si>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</si>
  <si>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</si>
  <si>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</si>
  <si>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</si>
  <si>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</si>
  <si>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</si>
  <si>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</si>
  <si>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</si>
  <si>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</si>
  <si>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</si>
  <si>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</si>
  <si>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</si>
  <si>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</si>
  <si>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</si>
  <si>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</si>
  <si>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</si>
  <si>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</si>
  <si>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</si>
  <si>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</si>
  <si>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</si>
  <si>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</si>
  <si>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</si>
  <si>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</si>
  <si>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</si>
  <si>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</si>
  <si>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</si>
  <si>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</si>
  <si>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</si>
  <si>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</si>
  <si>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</si>
  <si>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</si>
  <si>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</si>
  <si>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</si>
  <si>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</si>
  <si>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</si>
  <si>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</si>
  <si>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</si>
  <si>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</si>
  <si>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</si>
  <si>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</si>
  <si>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</si>
  <si>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</si>
  <si>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</si>
  <si>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</si>
  <si>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</si>
  <si>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</si>
  <si>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</si>
  <si>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</si>
  <si>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</si>
  <si>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</si>
  <si>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</si>
  <si>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</si>
  <si>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</si>
  <si>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</si>
  <si>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</si>
  <si>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</si>
  <si>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</si>
  <si>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</si>
  <si>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</si>
  <si>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</si>
  <si>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</si>
  <si>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</si>
  <si>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</si>
  <si>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</si>
  <si>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</si>
  <si>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</si>
  <si>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</si>
  <si>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</si>
  <si>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</si>
  <si>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</si>
  <si>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</si>
  <si>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</si>
  <si>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</si>
  <si>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</si>
  <si>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</si>
  <si>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</si>
  <si>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</si>
  <si>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</si>
  <si>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</si>
  <si>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</si>
  <si>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</si>
  <si>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</si>
  <si>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</si>
  <si>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</si>
  <si>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</si>
  <si>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</si>
  <si>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</si>
  <si>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</si>
  <si>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</si>
  <si>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</si>
  <si>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</si>
  <si>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</si>
  <si>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</si>
  <si>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</si>
  <si>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</si>
  <si>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</si>
  <si>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</si>
  <si>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</si>
  <si>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</si>
  <si>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</si>
  <si>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</si>
  <si>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</si>
  <si>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</si>
  <si>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</si>
  <si>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</si>
  <si>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</si>
  <si>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</si>
  <si>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</si>
  <si>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</si>
  <si>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</si>
  <si>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</si>
  <si>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</si>
  <si>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</si>
  <si>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</si>
  <si>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</si>
  <si>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</si>
  <si>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</si>
  <si>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</si>
  <si>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</si>
  <si>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</si>
  <si>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</si>
  <si>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</si>
  <si>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</si>
  <si>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</si>
  <si>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</si>
  <si>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</si>
  <si>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</si>
  <si>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</si>
  <si>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</si>
  <si>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</si>
  <si>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</si>
  <si>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</si>
  <si>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</si>
  <si>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</si>
  <si>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</si>
  <si>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</si>
  <si>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</si>
  <si>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</si>
  <si>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</si>
  <si>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</si>
  <si>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</si>
  <si>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</si>
  <si>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</si>
  <si>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</si>
  <si>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</si>
  <si>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</si>
  <si>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</si>
  <si>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</si>
  <si>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</si>
  <si>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</si>
  <si>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</si>
  <si>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</si>
  <si>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</si>
  <si>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</si>
  <si>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</si>
  <si>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</si>
  <si>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</si>
  <si>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</si>
  <si>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</si>
  <si>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</si>
  <si>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</si>
  <si>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</si>
  <si>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</si>
  <si>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</si>
  <si>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</si>
  <si>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</si>
  <si>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</si>
  <si>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</si>
  <si>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</si>
  <si>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</si>
  <si>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</si>
  <si>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</si>
  <si>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</si>
  <si>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</si>
  <si>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</si>
  <si>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</si>
  <si>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</si>
  <si>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</si>
  <si>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</si>
  <si>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</si>
  <si>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</si>
  <si>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</si>
  <si>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</si>
  <si>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</si>
  <si>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</si>
  <si>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</si>
  <si>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</si>
  <si>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</si>
  <si>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</si>
  <si>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</si>
  <si>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</si>
  <si>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</si>
  <si>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</si>
  <si>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</si>
  <si>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</si>
  <si>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</si>
  <si>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</si>
  <si>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</si>
  <si>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</si>
  <si>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</si>
  <si>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</si>
  <si>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</si>
  <si>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</si>
  <si>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</si>
  <si>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</si>
  <si>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</si>
  <si>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</si>
  <si>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</si>
  <si>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</si>
  <si>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</si>
  <si>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</si>
  <si>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</si>
  <si>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</si>
  <si>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</si>
  <si>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</si>
  <si>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</si>
  <si>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</si>
  <si>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</si>
  <si>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</si>
  <si>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</si>
  <si>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</si>
  <si>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</si>
  <si>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</si>
  <si>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</si>
  <si>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</si>
  <si>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</si>
  <si>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</si>
  <si>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</si>
  <si>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</si>
  <si>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</si>
  <si>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</si>
  <si>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</si>
  <si>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</si>
  <si>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</si>
  <si>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</si>
  <si>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</si>
  <si>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</si>
  <si>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</si>
  <si>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</si>
  <si>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</si>
  <si>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</si>
  <si>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</si>
  <si>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</si>
  <si>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</si>
  <si>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</si>
  <si>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</si>
  <si>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</si>
  <si>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</si>
  <si>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</si>
  <si>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</si>
  <si>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</si>
  <si>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</si>
  <si>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</si>
  <si>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</si>
  <si>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</si>
  <si>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</si>
  <si>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</si>
  <si>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</si>
  <si>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</si>
  <si>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</si>
  <si>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</si>
  <si>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</si>
  <si>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</si>
  <si>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</si>
  <si>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</si>
  <si>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</si>
  <si>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</si>
  <si>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</si>
  <si>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</si>
  <si>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</si>
  <si>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</si>
  <si>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</si>
  <si>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</si>
  <si>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</si>
  <si>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</si>
  <si>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</si>
  <si>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</si>
  <si>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</si>
  <si>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</si>
  <si>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</si>
  <si>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</si>
  <si>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</si>
  <si>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</si>
  <si>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</si>
  <si>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</si>
  <si>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</si>
  <si>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</si>
  <si>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</si>
  <si>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</si>
  <si>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</si>
  <si>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</si>
  <si>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</si>
  <si>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</si>
  <si>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</si>
  <si>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</si>
  <si>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</si>
  <si>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</si>
  <si>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</si>
  <si>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</si>
  <si>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</si>
  <si>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</si>
  <si>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</si>
  <si>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</si>
  <si>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</si>
  <si>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</si>
  <si>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</si>
  <si>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</si>
  <si>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</si>
  <si>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</si>
  <si>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</si>
  <si>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</si>
  <si>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</si>
  <si>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</si>
  <si>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</si>
  <si>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</si>
  <si>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</si>
  <si>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</si>
  <si>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</si>
  <si>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</si>
  <si>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</si>
  <si>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</si>
  <si>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</si>
  <si>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</si>
  <si>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</si>
  <si>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</si>
  <si>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</si>
  <si>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</si>
  <si>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</si>
  <si>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</si>
  <si>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</si>
  <si>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</si>
  <si>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</si>
  <si>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</si>
  <si>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</si>
  <si>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</si>
  <si>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</si>
  <si>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</si>
  <si>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</si>
  <si>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</si>
  <si>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</si>
  <si>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</si>
  <si>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</si>
  <si>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</si>
  <si>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</si>
  <si>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</si>
  <si>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</si>
  <si>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</si>
  <si>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</si>
  <si>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</si>
  <si>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</si>
  <si>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</si>
  <si>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</si>
  <si>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</si>
  <si>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</si>
  <si>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</si>
  <si>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</si>
  <si>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</si>
  <si>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</si>
  <si>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</si>
  <si>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</si>
  <si>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</si>
  <si>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</si>
  <si>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</si>
  <si>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</si>
  <si>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</si>
  <si>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</si>
  <si>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</si>
  <si>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</si>
  <si>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</si>
  <si>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</si>
  <si>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</si>
  <si>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</si>
  <si>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</si>
  <si>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</si>
  <si>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</si>
  <si>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</si>
  <si>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</si>
  <si>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</si>
  <si>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</si>
  <si>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</si>
  <si>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</si>
  <si>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</si>
  <si>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</si>
  <si>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</si>
  <si>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</si>
  <si>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</si>
  <si>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</si>
  <si>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</si>
  <si>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</si>
  <si>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</si>
  <si>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</si>
  <si>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</si>
  <si>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</si>
  <si>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</si>
  <si>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</si>
  <si>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</si>
  <si>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</si>
  <si>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</si>
  <si>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</si>
  <si>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</si>
  <si>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</si>
  <si>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</si>
  <si>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</si>
  <si>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</si>
  <si>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</si>
  <si>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</si>
  <si>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</si>
  <si>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</si>
  <si>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</si>
  <si>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</si>
  <si>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</si>
  <si>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</si>
  <si>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</si>
  <si>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</si>
  <si>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</si>
  <si>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</si>
  <si>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</si>
  <si>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</si>
  <si>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</si>
  <si>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</si>
  <si>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</si>
  <si>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</si>
  <si>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</si>
  <si>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</si>
  <si>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</si>
  <si>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</si>
  <si>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</si>
  <si>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</si>
  <si>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</si>
  <si>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</si>
  <si>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</si>
  <si>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</si>
  <si>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</si>
  <si>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</si>
  <si>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</si>
  <si>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</si>
  <si>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</si>
  <si>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</si>
  <si>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</si>
  <si>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</si>
  <si>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</si>
  <si>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</si>
  <si>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</si>
  <si>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</si>
  <si>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</si>
  <si>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</si>
  <si>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</si>
  <si>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</si>
  <si>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</si>
  <si>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</si>
  <si>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</si>
  <si>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</si>
  <si>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</si>
  <si>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</si>
  <si>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</si>
  <si>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</si>
  <si>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</si>
  <si>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</si>
  <si>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</si>
  <si>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</si>
  <si>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</si>
  <si>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</si>
  <si>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</si>
  <si>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</si>
  <si>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</si>
  <si>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</si>
  <si>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</si>
  <si>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</si>
  <si>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</si>
  <si>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</si>
  <si>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</si>
  <si>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</si>
  <si>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</si>
  <si>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</si>
  <si>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</si>
  <si>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</si>
  <si>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</si>
  <si>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</si>
  <si>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</si>
  <si>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</si>
  <si>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</si>
  <si>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</si>
  <si>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</si>
  <si>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</si>
  <si>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</si>
  <si>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</si>
  <si>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</si>
  <si>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</si>
  <si>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</si>
  <si>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</si>
  <si>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</si>
  <si>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</si>
  <si>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</si>
  <si>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</si>
  <si>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</si>
  <si>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</si>
  <si>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</si>
  <si>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</si>
  <si>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</si>
  <si>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</si>
  <si>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</si>
  <si>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</si>
  <si>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</si>
  <si>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</si>
  <si>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</si>
  <si>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</si>
  <si>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</si>
  <si>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</si>
  <si>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</si>
  <si>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</si>
  <si>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</si>
  <si>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</si>
  <si>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</si>
  <si>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</si>
  <si>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</si>
  <si>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</si>
  <si>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</si>
  <si>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</si>
  <si>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</si>
  <si>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</si>
  <si>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</si>
  <si>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</si>
  <si>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</si>
  <si>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</si>
  <si>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</si>
  <si>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</si>
  <si>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</si>
  <si>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</si>
  <si>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</si>
  <si>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</si>
  <si>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Васил Борисов Тренев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</si>
</sst>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0.0"/>
    <numFmt numFmtId="193" formatCode="0.000"/>
    <numFmt numFmtId="194" formatCode="[$-402]dd\ mmmm\ yyyy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1" fontId="11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Fill="1" applyBorder="1" applyAlignment="1" applyProtection="1">
      <alignment horizontal="right" vertical="center" wrapText="1"/>
      <protection/>
    </xf>
    <xf numFmtId="2" fontId="4" fillId="0" borderId="0" xfId="65" applyNumberFormat="1" applyFont="1" applyBorder="1" applyAlignment="1" applyProtection="1">
      <alignment vertical="center"/>
      <protection/>
    </xf>
    <xf numFmtId="2" fontId="4" fillId="0" borderId="0" xfId="65" applyNumberFormat="1" applyFont="1" applyAlignment="1" applyProtection="1">
      <alignment horizontal="left" vertical="center"/>
      <protection/>
    </xf>
    <xf numFmtId="2" fontId="4" fillId="0" borderId="0" xfId="64" applyNumberFormat="1" applyFont="1" applyProtection="1">
      <alignment/>
      <protection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Trial%20Balance_Y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CONSOLIDATE\FO_SV_2Q_2017_conso_fu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Consolidation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CONSOLIDATE\FO_SV_2018_conso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CONSOLIDATE\Consolidation_06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FO_SV_062019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FO_SV_062018_conso_fu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Consolidation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9_Dec"/>
      <sheetName val="PPE note IFRS16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VSB"/>
      <sheetName val="SADE"/>
      <sheetName val="wise"/>
      <sheetName val="ZONA 2"/>
      <sheetName val="OKUBRATOVO1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2">
        <row r="517">
          <cell r="L517">
            <v>-335706.34</v>
          </cell>
        </row>
        <row r="521">
          <cell r="L521">
            <v>1088930.25</v>
          </cell>
        </row>
      </sheetData>
      <sheetData sheetId="6">
        <row r="37">
          <cell r="W37">
            <v>769</v>
          </cell>
        </row>
        <row r="45">
          <cell r="W45">
            <v>1324</v>
          </cell>
        </row>
        <row r="48">
          <cell r="W48">
            <v>450</v>
          </cell>
        </row>
      </sheetData>
      <sheetData sheetId="8">
        <row r="81">
          <cell r="C81">
            <v>7243.95</v>
          </cell>
        </row>
        <row r="83">
          <cell r="C83">
            <v>2325.22</v>
          </cell>
        </row>
        <row r="85">
          <cell r="C85">
            <v>403.41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-1174381.01</v>
          </cell>
        </row>
        <row r="91">
          <cell r="C91">
            <v>-38614.25</v>
          </cell>
        </row>
        <row r="92">
          <cell r="C92">
            <v>-18325</v>
          </cell>
        </row>
        <row r="93">
          <cell r="C93">
            <v>-4422.86</v>
          </cell>
        </row>
        <row r="94">
          <cell r="C94">
            <v>-3601.12</v>
          </cell>
        </row>
        <row r="95">
          <cell r="C95">
            <v>-58586.55</v>
          </cell>
        </row>
        <row r="96">
          <cell r="C96">
            <v>-20157.49</v>
          </cell>
        </row>
      </sheetData>
      <sheetData sheetId="9">
        <row r="65">
          <cell r="E65">
            <v>1262.84123</v>
          </cell>
        </row>
        <row r="66">
          <cell r="E66">
            <v>415.87784999999997</v>
          </cell>
        </row>
        <row r="107">
          <cell r="C107">
            <v>1104.3416200000001</v>
          </cell>
        </row>
        <row r="108">
          <cell r="C108">
            <v>731</v>
          </cell>
          <cell r="D108">
            <v>165</v>
          </cell>
          <cell r="E108">
            <v>-17</v>
          </cell>
          <cell r="F108">
            <v>-501</v>
          </cell>
        </row>
        <row r="109">
          <cell r="D109">
            <v>1088.93025</v>
          </cell>
        </row>
      </sheetData>
      <sheetData sheetId="43">
        <row r="39">
          <cell r="G39">
            <v>22214981.319126535</v>
          </cell>
        </row>
        <row r="43">
          <cell r="G43">
            <v>44579415.42285009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12">
          <cell r="O12">
            <v>202241.85771666665</v>
          </cell>
        </row>
        <row r="14">
          <cell r="O14">
            <v>-31955.434829999995</v>
          </cell>
        </row>
        <row r="15">
          <cell r="O15">
            <v>-2454.058919999999</v>
          </cell>
        </row>
        <row r="16">
          <cell r="O16">
            <v>-18059.376166666672</v>
          </cell>
        </row>
        <row r="17">
          <cell r="O17">
            <v>-1280.51177</v>
          </cell>
        </row>
        <row r="18">
          <cell r="O18">
            <v>0</v>
          </cell>
        </row>
        <row r="19">
          <cell r="O19">
            <v>-1387.2812583333332</v>
          </cell>
        </row>
        <row r="20">
          <cell r="O20">
            <v>-401.23806</v>
          </cell>
        </row>
        <row r="21">
          <cell r="O21">
            <v>-8787.510571666668</v>
          </cell>
        </row>
        <row r="22">
          <cell r="O22">
            <v>-6132.7265673333295</v>
          </cell>
        </row>
        <row r="30">
          <cell r="O30">
            <v>-21215.125278000003</v>
          </cell>
        </row>
        <row r="34">
          <cell r="O34">
            <v>-42012.176028</v>
          </cell>
        </row>
        <row r="36">
          <cell r="O36">
            <v>-5325.05779</v>
          </cell>
        </row>
        <row r="37">
          <cell r="O37">
            <v>-18478.697630000002</v>
          </cell>
        </row>
        <row r="38">
          <cell r="O38">
            <v>-223.03912</v>
          </cell>
        </row>
        <row r="41">
          <cell r="O41">
            <v>-846.8576599999999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250.87184000000002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-1148.5016099999998</v>
          </cell>
        </row>
        <row r="52">
          <cell r="O52">
            <v>-28606.93057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25">
          <cell r="D25">
            <v>4529.69844</v>
          </cell>
        </row>
        <row r="26">
          <cell r="D26">
            <v>3.508720000001631</v>
          </cell>
        </row>
        <row r="27">
          <cell r="D27">
            <v>278981.79284</v>
          </cell>
        </row>
        <row r="49">
          <cell r="G49">
            <v>8003</v>
          </cell>
          <cell r="H49">
            <v>8831</v>
          </cell>
        </row>
        <row r="64">
          <cell r="G64">
            <v>32130</v>
          </cell>
        </row>
        <row r="66">
          <cell r="G66">
            <v>5530</v>
          </cell>
        </row>
        <row r="67">
          <cell r="G67">
            <v>951</v>
          </cell>
        </row>
        <row r="68">
          <cell r="G68">
            <v>2129</v>
          </cell>
        </row>
        <row r="69">
          <cell r="G69">
            <v>6185</v>
          </cell>
        </row>
        <row r="70">
          <cell r="G70">
            <v>2573</v>
          </cell>
        </row>
      </sheetData>
      <sheetData sheetId="4">
        <row r="15">
          <cell r="I15">
            <v>-56</v>
          </cell>
        </row>
        <row r="27">
          <cell r="E27">
            <v>-121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6">
          <cell r="C46">
            <v>25738.926587999995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27">
        <row r="22">
          <cell r="C22">
            <v>8884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290</v>
          </cell>
          <cell r="G13">
            <v>8884</v>
          </cell>
        </row>
        <row r="14">
          <cell r="C14">
            <v>12584.364379999999</v>
          </cell>
        </row>
        <row r="15">
          <cell r="C15">
            <v>0</v>
          </cell>
        </row>
        <row r="16">
          <cell r="C16">
            <v>6334.165000000001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45">
          <cell r="G45">
            <v>49835</v>
          </cell>
        </row>
        <row r="59">
          <cell r="C59">
            <v>2189</v>
          </cell>
          <cell r="G59">
            <v>25646</v>
          </cell>
        </row>
        <row r="62">
          <cell r="G62">
            <v>3818</v>
          </cell>
        </row>
        <row r="64">
          <cell r="G64">
            <v>23907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G68">
            <v>1382</v>
          </cell>
        </row>
        <row r="69">
          <cell r="G69">
            <v>6857</v>
          </cell>
        </row>
        <row r="70">
          <cell r="G70">
            <v>1835</v>
          </cell>
        </row>
        <row r="88">
          <cell r="C88">
            <v>88</v>
          </cell>
        </row>
        <row r="89">
          <cell r="C89">
            <v>35927</v>
          </cell>
        </row>
      </sheetData>
      <sheetData sheetId="3">
        <row r="11">
          <cell r="C11">
            <v>188922</v>
          </cell>
        </row>
        <row r="14">
          <cell r="C14">
            <v>-30674</v>
          </cell>
        </row>
        <row r="15">
          <cell r="C15">
            <v>-17404</v>
          </cell>
        </row>
        <row r="16">
          <cell r="C16">
            <v>-4701</v>
          </cell>
        </row>
        <row r="20">
          <cell r="C20">
            <v>-56718</v>
          </cell>
        </row>
        <row r="23">
          <cell r="C23">
            <v>-40182</v>
          </cell>
        </row>
        <row r="37">
          <cell r="C37">
            <v>98319.86551999999</v>
          </cell>
        </row>
        <row r="38">
          <cell r="C38">
            <v>-123184</v>
          </cell>
        </row>
        <row r="39">
          <cell r="C39">
            <v>-1350</v>
          </cell>
        </row>
        <row r="40">
          <cell r="C40">
            <v>-3127</v>
          </cell>
        </row>
        <row r="42">
          <cell r="C42">
            <v>249</v>
          </cell>
        </row>
        <row r="45">
          <cell r="C45">
            <v>25863.84878</v>
          </cell>
        </row>
        <row r="48">
          <cell r="C48">
            <v>775</v>
          </cell>
        </row>
      </sheetData>
      <sheetData sheetId="5">
        <row r="11">
          <cell r="J11">
            <v>185</v>
          </cell>
          <cell r="N11">
            <v>0</v>
          </cell>
        </row>
        <row r="12">
          <cell r="J12">
            <v>525</v>
          </cell>
          <cell r="N12">
            <v>235</v>
          </cell>
        </row>
        <row r="13">
          <cell r="J13">
            <v>36425</v>
          </cell>
          <cell r="N13">
            <v>23840.63562</v>
          </cell>
        </row>
        <row r="14">
          <cell r="J14">
            <v>0</v>
          </cell>
          <cell r="N14">
            <v>0</v>
          </cell>
        </row>
        <row r="15">
          <cell r="J15">
            <v>16495</v>
          </cell>
          <cell r="N15">
            <v>10160.835</v>
          </cell>
        </row>
        <row r="16">
          <cell r="J16">
            <v>0</v>
          </cell>
          <cell r="N16">
            <v>0</v>
          </cell>
        </row>
        <row r="17">
          <cell r="J17">
            <v>0</v>
          </cell>
          <cell r="N17">
            <v>0</v>
          </cell>
        </row>
        <row r="18">
          <cell r="J18">
            <v>1955</v>
          </cell>
          <cell r="N18">
            <v>1178</v>
          </cell>
        </row>
        <row r="23">
          <cell r="J23">
            <v>0</v>
          </cell>
        </row>
        <row r="24">
          <cell r="J24">
            <v>21197</v>
          </cell>
          <cell r="N24">
            <v>16666</v>
          </cell>
        </row>
        <row r="25">
          <cell r="J25">
            <v>21041</v>
          </cell>
          <cell r="N25">
            <v>21037</v>
          </cell>
        </row>
        <row r="26">
          <cell r="J26">
            <v>541075</v>
          </cell>
          <cell r="N26">
            <v>247970</v>
          </cell>
        </row>
        <row r="42">
          <cell r="G42">
            <v>646291</v>
          </cell>
          <cell r="N42">
            <v>328480.47062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4">
        <row r="7">
          <cell r="N7">
            <v>81297</v>
          </cell>
        </row>
        <row r="8">
          <cell r="N8">
            <v>887</v>
          </cell>
        </row>
        <row r="9">
          <cell r="N9">
            <v>11563</v>
          </cell>
        </row>
        <row r="12">
          <cell r="N12">
            <v>-4474</v>
          </cell>
        </row>
        <row r="13">
          <cell r="N13">
            <v>-13275</v>
          </cell>
        </row>
        <row r="14">
          <cell r="N14">
            <v>-20215</v>
          </cell>
        </row>
        <row r="15">
          <cell r="N15">
            <v>-11633</v>
          </cell>
        </row>
        <row r="16">
          <cell r="N16">
            <v>-2853</v>
          </cell>
        </row>
        <row r="17">
          <cell r="N17">
            <v>-4529</v>
          </cell>
        </row>
        <row r="18">
          <cell r="N18">
            <v>-1383</v>
          </cell>
        </row>
        <row r="19">
          <cell r="N19">
            <v>-11563</v>
          </cell>
        </row>
      </sheetData>
      <sheetData sheetId="27">
        <row r="4">
          <cell r="C4">
            <v>293963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1">
          <cell r="D21">
            <v>-454.29477</v>
          </cell>
        </row>
        <row r="25">
          <cell r="D25">
            <v>1752</v>
          </cell>
        </row>
        <row r="27">
          <cell r="D27">
            <v>21</v>
          </cell>
        </row>
        <row r="28">
          <cell r="D28">
            <v>70</v>
          </cell>
        </row>
        <row r="39">
          <cell r="D39">
            <v>2525.0505069877104</v>
          </cell>
        </row>
        <row r="40">
          <cell r="D40">
            <v>-300.63335668553003</v>
          </cell>
        </row>
      </sheetData>
      <sheetData sheetId="3">
        <row r="48">
          <cell r="C48">
            <v>1088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2">
          <cell r="G22">
            <v>1</v>
          </cell>
        </row>
        <row r="25">
          <cell r="G25">
            <v>0</v>
          </cell>
        </row>
        <row r="26">
          <cell r="G2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1">
        <row r="72">
          <cell r="X72">
            <v>-238603</v>
          </cell>
        </row>
      </sheetData>
      <sheetData sheetId="3">
        <row r="33">
          <cell r="I33">
            <v>-469</v>
          </cell>
        </row>
        <row r="45">
          <cell r="V45">
            <v>4</v>
          </cell>
        </row>
      </sheetData>
      <sheetData sheetId="4">
        <row r="7">
          <cell r="M7">
            <v>174322</v>
          </cell>
        </row>
        <row r="8">
          <cell r="M8">
            <v>1350</v>
          </cell>
        </row>
        <row r="9">
          <cell r="M9">
            <v>30568</v>
          </cell>
        </row>
        <row r="12">
          <cell r="M12">
            <v>-12592</v>
          </cell>
        </row>
        <row r="13">
          <cell r="M13">
            <v>-50531</v>
          </cell>
        </row>
        <row r="14">
          <cell r="M14">
            <v>-50036</v>
          </cell>
        </row>
        <row r="15">
          <cell r="M15">
            <v>-27081</v>
          </cell>
        </row>
        <row r="16">
          <cell r="M16">
            <v>-7764</v>
          </cell>
        </row>
        <row r="17">
          <cell r="M17">
            <v>-8691</v>
          </cell>
        </row>
        <row r="18">
          <cell r="M18">
            <v>-7140</v>
          </cell>
        </row>
        <row r="27">
          <cell r="M27">
            <v>36459</v>
          </cell>
          <cell r="N27">
            <v>30060</v>
          </cell>
        </row>
        <row r="28">
          <cell r="G28">
            <v>-5594</v>
          </cell>
        </row>
        <row r="29">
          <cell r="G29">
            <v>956</v>
          </cell>
        </row>
      </sheetData>
      <sheetData sheetId="17">
        <row r="5">
          <cell r="E5">
            <v>40</v>
          </cell>
        </row>
        <row r="6">
          <cell r="E6">
            <v>10</v>
          </cell>
        </row>
        <row r="8">
          <cell r="E8">
            <v>48574</v>
          </cell>
        </row>
        <row r="9">
          <cell r="E9">
            <v>481</v>
          </cell>
        </row>
      </sheetData>
      <sheetData sheetId="27">
        <row r="5">
          <cell r="C5">
            <v>8907</v>
          </cell>
          <cell r="D5">
            <v>7950</v>
          </cell>
        </row>
        <row r="6">
          <cell r="C6">
            <v>176</v>
          </cell>
          <cell r="D6">
            <v>250</v>
          </cell>
        </row>
        <row r="10">
          <cell r="C10">
            <v>2344</v>
          </cell>
        </row>
        <row r="11">
          <cell r="C11">
            <v>28207</v>
          </cell>
          <cell r="D11">
            <v>25409</v>
          </cell>
        </row>
        <row r="12">
          <cell r="C12">
            <v>10527</v>
          </cell>
          <cell r="D12">
            <v>9936</v>
          </cell>
        </row>
        <row r="13">
          <cell r="C13">
            <v>2</v>
          </cell>
          <cell r="D13">
            <v>12</v>
          </cell>
        </row>
        <row r="14">
          <cell r="C14">
            <v>85</v>
          </cell>
          <cell r="D14">
            <v>25</v>
          </cell>
        </row>
        <row r="22">
          <cell r="C22">
            <v>8884</v>
          </cell>
        </row>
        <row r="23">
          <cell r="C23">
            <v>10774</v>
          </cell>
        </row>
        <row r="24">
          <cell r="D24">
            <v>238311</v>
          </cell>
        </row>
        <row r="29">
          <cell r="C29">
            <v>22364</v>
          </cell>
        </row>
        <row r="30">
          <cell r="C30">
            <v>769</v>
          </cell>
        </row>
        <row r="31">
          <cell r="C31">
            <v>1567</v>
          </cell>
        </row>
        <row r="33">
          <cell r="C33">
            <v>6436</v>
          </cell>
        </row>
        <row r="37">
          <cell r="C37">
            <v>22215</v>
          </cell>
        </row>
        <row r="38">
          <cell r="C38">
            <v>1324</v>
          </cell>
        </row>
        <row r="42">
          <cell r="C42">
            <v>3653</v>
          </cell>
        </row>
        <row r="50">
          <cell r="C50">
            <v>402081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8515625" style="654" customWidth="1"/>
    <col min="2" max="2" width="65.851562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44029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Анелия Илиева Илиева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44029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973</v>
      </c>
    </row>
    <row r="18" spans="1:2" ht="15.75">
      <c r="A18" s="7" t="s">
        <v>893</v>
      </c>
      <c r="B18" s="545" t="s">
        <v>965</v>
      </c>
    </row>
    <row r="19" spans="1:2" ht="15.75">
      <c r="A19" s="7" t="s">
        <v>4</v>
      </c>
      <c r="B19" s="545" t="s">
        <v>966</v>
      </c>
    </row>
    <row r="20" spans="1:2" ht="15.7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0.17677948021722265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0.12390442173518526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0.3381155522581842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0.09067587029344983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1.2488451092926585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1.1912013977625369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1.1606383810989125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0.6544579758520875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0.6544579758520875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0.6784578587472391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0.5129321015200936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0.09568913324748683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0.3664558489181005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0.2681801227061273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42336.41344999999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0.1438785711858243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0.447866247030303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1.1673398580017291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140625" style="99" customWidth="1"/>
    <col min="4" max="4" width="14.140625" style="99" bestFit="1" customWidth="1"/>
    <col min="5" max="5" width="16.8515625" style="99" bestFit="1" customWidth="1"/>
    <col min="6" max="6" width="53.140625" style="99" customWidth="1"/>
    <col min="7" max="7" width="16.00390625" style="99" bestFit="1" customWidth="1"/>
    <col min="8" max="8" width="15.851562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655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10787.364379999999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7983.165000000001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-0.31315000000086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812.7831500000009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20422.999379999997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4198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3.508720000001631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277015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281216.50872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176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176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8907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310722.5081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2344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2344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85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38734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38821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50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50143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50193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91358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402080.5081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-469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10305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238603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238603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36459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275062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294251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23133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8003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31136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31136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23539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44397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3653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32134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5530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951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2129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6185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2573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76694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76694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402081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12592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50531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50036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27081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7764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15831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8691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753.2239099999999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163835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1239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20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58.58655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1317.58655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165152.58655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41097.41344999999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165152.58655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41097.41344999999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4638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5594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-956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36459.41344999999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36459.41344999999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206250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175672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30568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206240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206250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206250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206250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202243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-31955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-18702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-5325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-59719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86542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-42012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-42012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-28607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-1149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-847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251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-30352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14178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36014.71429999999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50192.71429999999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50192.71429999999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1088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-348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-348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-121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-121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-469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-469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238659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-56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-56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238603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36459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275062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275062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257969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-56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-56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257913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36459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-121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-121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294251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294251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36407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16484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1955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55556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21197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534138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576376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639325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6'!E12</f>
        <v>4092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2080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6'!E15</f>
        <v>3281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4667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128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14248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429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77345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77774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92022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>
        <f>'Справка 6'!F12</f>
        <v>664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313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>
        <f>'Справка 6'!F15</f>
        <v>405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4667.313150000001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-0.31315000000086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6049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36219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36219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42268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3953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38174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19360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-0.31315000000086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2083.313150000001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63755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21626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575264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617931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689079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3953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38174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19360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-0.31315000000086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2083.313150000001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63755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21626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575264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617931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689079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2834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24319.63562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10148.835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1175.53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38478.00062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16667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255157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292861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338732.00062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1097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3358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1632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95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6182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761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0.49128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43093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43854.49128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50036.49128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633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291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404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1328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1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1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1329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3298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27386.63562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11376.835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1270.53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43332.00062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17428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21037.49128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298249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336714.49128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387439.4919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3298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27386.63562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11376.835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1270.53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43332.00062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17428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21037.49128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298249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336714.49128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387439.4919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655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10787.364379999999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7983.165000000001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-0.31315000000086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812.7831500000009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20422.99938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4198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3.508720000001631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277015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281216.50872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301639.5081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176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176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176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8907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85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85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38734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2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2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38821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47904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85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85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38734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2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2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38821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38821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176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176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176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8907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9083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44579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44579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10096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2093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54675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3653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3653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40744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32134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5530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2129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450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1263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416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951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6185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50582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105257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22215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22215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1324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1324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23539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3653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3653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40744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32134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5530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2129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450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1263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416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951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6185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50582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74121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22364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22364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8772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769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31136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31136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1835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1835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166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1090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1256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518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518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1483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1090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2573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4">
      <selection activeCell="H70" sqref="H70"/>
    </sheetView>
  </sheetViews>
  <sheetFormatPr defaultColWidth="9.140625" defaultRowHeight="15"/>
  <cols>
    <col min="1" max="1" width="70.8515625" style="44" customWidth="1"/>
    <col min="2" max="2" width="10.8515625" style="44" customWidth="1"/>
    <col min="3" max="4" width="15.8515625" style="44" customWidth="1"/>
    <col min="5" max="5" width="70.8515625" style="44" customWidth="1"/>
    <col min="6" max="6" width="10.8515625" style="542" customWidth="1"/>
    <col min="7" max="7" width="15.8515625" style="44" customWidth="1"/>
    <col min="8" max="8" width="15.8515625" style="41" customWidth="1"/>
    <col min="9" max="9" width="3.421875" style="41" customWidth="1"/>
    <col min="10" max="16384" width="9.1406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'[5]1-Баланс'!C12</f>
        <v>185</v>
      </c>
      <c r="E12" s="84" t="s">
        <v>25</v>
      </c>
      <c r="F12" s="87" t="s">
        <v>26</v>
      </c>
      <c r="G12" s="188">
        <f>'[4]BS_KFN'!$C$22</f>
        <v>8884</v>
      </c>
      <c r="H12" s="187">
        <f>'[5]1-Баланс'!G12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655</v>
      </c>
      <c r="D13" s="187">
        <f>'[5]1-Баланс'!C13</f>
        <v>290</v>
      </c>
      <c r="E13" s="84" t="s">
        <v>821</v>
      </c>
      <c r="F13" s="87" t="s">
        <v>29</v>
      </c>
      <c r="G13" s="188">
        <f>'[9]BS_KFN'!C$22</f>
        <v>8884</v>
      </c>
      <c r="H13" s="187">
        <f>'[5]1-Баланс'!G13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10787.364379999999</v>
      </c>
      <c r="D14" s="187">
        <f>'[5]1-Баланс'!C14</f>
        <v>12584.364379999999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'[5]1-Баланс'!C15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7983.165000000001</v>
      </c>
      <c r="D16" s="187">
        <f>'[5]1-Баланс'!C16</f>
        <v>6334.165000000001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'[5]1-Баланс'!C17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-0.31315000000086</v>
      </c>
      <c r="D18" s="187">
        <f>'[5]1-Баланс'!C18</f>
        <v>0</v>
      </c>
      <c r="E18" s="467" t="s">
        <v>47</v>
      </c>
      <c r="F18" s="466" t="s">
        <v>48</v>
      </c>
      <c r="G18" s="577">
        <f>G12+G15+G16+G17</f>
        <v>8884</v>
      </c>
      <c r="H18" s="578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812.7831500000009</v>
      </c>
      <c r="D19" s="187">
        <f>'[5]1-Баланс'!C19</f>
        <v>777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20422.999379999997</v>
      </c>
      <c r="D20" s="566">
        <f>SUM(D12:D19)</f>
        <v>20170.52938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f>'[9]BS'!$I$33</f>
        <v>-469</v>
      </c>
      <c r="H21" s="187">
        <f>'[5]1-Баланс'!$G$21</f>
        <v>-348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10774</v>
      </c>
      <c r="H22" s="582">
        <f>SUM(H23:H25)</f>
        <v>10774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f>'[9]BS_KFN'!$C$23</f>
        <v>10774</v>
      </c>
      <c r="H23" s="187">
        <f>'[5]1-Баланс'!$G$23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4198</v>
      </c>
      <c r="D25" s="187">
        <f>'[12]1-Баланс'!D25</f>
        <v>4529.69844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3.508720000001631</v>
      </c>
      <c r="D26" s="187">
        <f>'[12]1-Баланс'!D26</f>
        <v>3.508720000001631</v>
      </c>
      <c r="E26" s="470" t="s">
        <v>77</v>
      </c>
      <c r="F26" s="89" t="s">
        <v>78</v>
      </c>
      <c r="G26" s="565">
        <f>G20+G21+G22</f>
        <v>10305</v>
      </c>
      <c r="H26" s="566">
        <f>H20+H21+H22</f>
        <v>10426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277015</v>
      </c>
      <c r="D27" s="187">
        <f>'[12]1-Баланс'!D27</f>
        <v>278981.79284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281216.50872</v>
      </c>
      <c r="D28" s="566">
        <f>SUM(D24:D27)</f>
        <v>283515</v>
      </c>
      <c r="E28" s="193" t="s">
        <v>84</v>
      </c>
      <c r="F28" s="87" t="s">
        <v>85</v>
      </c>
      <c r="G28" s="563">
        <f>SUM(G29:G31)</f>
        <v>238603</v>
      </c>
      <c r="H28" s="564">
        <f>SUM(H29:H31)</f>
        <v>208599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-ROUND('[9]Consolidation_PL_BS'!$X$72,0)</f>
        <v>238603</v>
      </c>
      <c r="H29" s="187">
        <f>'[9]BS_KFN'!$D$24-H32-H21</f>
        <v>208599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'[9]PL'!M$27</f>
        <v>36459</v>
      </c>
      <c r="H32" s="187">
        <f>'[9]PL'!$N$27</f>
        <v>30060</v>
      </c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275062</v>
      </c>
      <c r="H34" s="566">
        <f>H28+H32+H33</f>
        <v>238659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294251</v>
      </c>
      <c r="H37" s="568">
        <f>H26+H18+H34</f>
        <v>257969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'[9]BS_KFN'!C$29+'[9]BS_KFN'!C$30</f>
        <v>23133</v>
      </c>
      <c r="H45" s="187">
        <f>'[5]1-Баланс'!G45</f>
        <v>49835</v>
      </c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'[9]BS_KFN'!$C$31+'[9]BS_KFN'!$C$32+'[9]BS_KFN'!$C$33</f>
        <v>8003</v>
      </c>
      <c r="H49" s="187">
        <f>'[12]1-Баланс'!$H$49</f>
        <v>8831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31136</v>
      </c>
      <c r="H50" s="564">
        <f>SUM(H44:H49)</f>
        <v>58666</v>
      </c>
    </row>
    <row r="51" spans="1:8" ht="15.75">
      <c r="A51" s="84" t="s">
        <v>79</v>
      </c>
      <c r="B51" s="86" t="s">
        <v>155</v>
      </c>
      <c r="C51" s="188">
        <f>'[9]BS_KFN'!C$6</f>
        <v>176</v>
      </c>
      <c r="D51" s="187">
        <f>'[9]BS_KFN'!$D$6</f>
        <v>250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176</v>
      </c>
      <c r="D52" s="566">
        <f>SUM(D48:D51)</f>
        <v>250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4">
        <f>'[9]BS_KFN'!C$5</f>
        <v>8907</v>
      </c>
      <c r="D55" s="465">
        <f>'[9]BS_KFN'!$D$5</f>
        <v>7950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310722.5081</v>
      </c>
      <c r="D56" s="570">
        <f>D20+D21+D22+D28+D33+D46+D52+D54+D55</f>
        <v>311885.52938</v>
      </c>
      <c r="E56" s="94" t="s">
        <v>825</v>
      </c>
      <c r="F56" s="93" t="s">
        <v>172</v>
      </c>
      <c r="G56" s="567">
        <f>G50+G52+G53+G54+G55</f>
        <v>31136</v>
      </c>
      <c r="H56" s="568">
        <f>H50+H52+H53+H54+H55</f>
        <v>58666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f>'[9]BS_KFN'!C$10</f>
        <v>2344</v>
      </c>
      <c r="D59" s="187">
        <f>'[5]1-Баланс'!$C$59</f>
        <v>2189</v>
      </c>
      <c r="E59" s="192" t="s">
        <v>180</v>
      </c>
      <c r="F59" s="472" t="s">
        <v>181</v>
      </c>
      <c r="G59" s="188">
        <f>'[9]BS_KFN'!$C$37+'[9]BS_KFN'!$C$38</f>
        <v>23539</v>
      </c>
      <c r="H59" s="187">
        <f>'[5]1-Баланс'!$G$59</f>
        <v>25646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44397</v>
      </c>
      <c r="H61" s="564">
        <f>SUM(H62:H68)</f>
        <v>34875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'[9]BS_KFN'!$C$42</f>
        <v>3653</v>
      </c>
      <c r="H62" s="187">
        <f>'[5]1-Баланс'!G62</f>
        <v>3818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'[12]1-Баланс'!$G$64+'[9]BS'!$V$45</f>
        <v>32134</v>
      </c>
      <c r="H64" s="187">
        <f>'[5]1-Баланс'!G64</f>
        <v>23907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2344</v>
      </c>
      <c r="D65" s="566">
        <f>SUM(D59:D64)</f>
        <v>2189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f>'[12]1-Баланс'!$G$66</f>
        <v>5530</v>
      </c>
      <c r="H66" s="187">
        <f>'[5]1-Баланс'!G66</f>
        <v>4866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'[12]1-Баланс'!$G$67</f>
        <v>951</v>
      </c>
      <c r="H67" s="187">
        <f>'[5]1-Баланс'!G67</f>
        <v>902</v>
      </c>
    </row>
    <row r="68" spans="1:8" ht="15.75">
      <c r="A68" s="84" t="s">
        <v>206</v>
      </c>
      <c r="B68" s="86" t="s">
        <v>207</v>
      </c>
      <c r="C68" s="188">
        <f>'[9]BS_KFN'!C$14</f>
        <v>85</v>
      </c>
      <c r="D68" s="187">
        <f>'[9]BS_KFN'!$D$14</f>
        <v>25</v>
      </c>
      <c r="E68" s="84" t="s">
        <v>212</v>
      </c>
      <c r="F68" s="87" t="s">
        <v>213</v>
      </c>
      <c r="G68" s="188">
        <f>'[12]1-Баланс'!$G$68</f>
        <v>2129</v>
      </c>
      <c r="H68" s="187">
        <f>'[5]1-Баланс'!G68</f>
        <v>1382</v>
      </c>
    </row>
    <row r="69" spans="1:8" ht="15.75">
      <c r="A69" s="84" t="s">
        <v>210</v>
      </c>
      <c r="B69" s="86" t="s">
        <v>211</v>
      </c>
      <c r="C69" s="188">
        <f>'[9]BS_KFN'!$C$11+'[9]BS_KFN'!$C$12</f>
        <v>38734</v>
      </c>
      <c r="D69" s="187">
        <f>'[9]BS_KFN'!$D$11+'[9]BS_KFN'!$D$12</f>
        <v>35345</v>
      </c>
      <c r="E69" s="192" t="s">
        <v>79</v>
      </c>
      <c r="F69" s="87" t="s">
        <v>216</v>
      </c>
      <c r="G69" s="188">
        <f>'[12]1-Баланс'!$G$69</f>
        <v>6185</v>
      </c>
      <c r="H69" s="187">
        <f>'[5]1-Баланс'!G69-376</f>
        <v>6481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'[12]1-Баланс'!$G$70</f>
        <v>2573</v>
      </c>
      <c r="H70" s="187">
        <f>'[5]1-Баланс'!G70</f>
        <v>1835</v>
      </c>
    </row>
    <row r="71" spans="1:8" ht="15.75">
      <c r="A71" s="84" t="s">
        <v>217</v>
      </c>
      <c r="B71" s="86" t="s">
        <v>218</v>
      </c>
      <c r="C71" s="188"/>
      <c r="D71" s="187"/>
      <c r="E71" s="460" t="s">
        <v>47</v>
      </c>
      <c r="F71" s="89" t="s">
        <v>223</v>
      </c>
      <c r="G71" s="565">
        <f>G59+G60+G61+G69+G70</f>
        <v>76694</v>
      </c>
      <c r="H71" s="566">
        <f>H59+H60+H61+H69+H70</f>
        <v>68837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f>'[9]BS_KFN'!$C$13</f>
        <v>2</v>
      </c>
      <c r="D73" s="187">
        <f>'[9]BS_KFN'!$D$13</f>
        <v>12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38821</v>
      </c>
      <c r="D76" s="566">
        <f>SUM(D68:D75)</f>
        <v>35382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76694</v>
      </c>
      <c r="H79" s="568">
        <f>H71+H73+H75+H77</f>
        <v>68837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f>'[9]13'!$E$5+'[9]13'!$E$6</f>
        <v>50</v>
      </c>
      <c r="D88" s="187">
        <f>'[5]1-Баланс'!C88</f>
        <v>88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f>'[9]13'!$E$8+'[9]13'!$E$9+1088</f>
        <v>50143</v>
      </c>
      <c r="D89" s="187">
        <f>'[5]1-Баланс'!C89</f>
        <v>35927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50193</v>
      </c>
      <c r="D92" s="566">
        <f>SUM(D88:D91)</f>
        <v>36015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91358</v>
      </c>
      <c r="D94" s="570">
        <f>D65+D76+D85+D92+D93</f>
        <v>73586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402080.5081</v>
      </c>
      <c r="D95" s="572">
        <f>D94+D56</f>
        <v>385471.52938</v>
      </c>
      <c r="E95" s="220" t="s">
        <v>916</v>
      </c>
      <c r="F95" s="475" t="s">
        <v>268</v>
      </c>
      <c r="G95" s="571">
        <f>G37+G40+G56+G79</f>
        <v>402081</v>
      </c>
      <c r="H95" s="572">
        <f>H37+H40+H56+H79</f>
        <v>385472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83">
        <f>pdeReportingDate</f>
        <v>44029</v>
      </c>
      <c r="C98" s="683"/>
      <c r="D98" s="683"/>
      <c r="E98" s="683"/>
      <c r="F98" s="683"/>
      <c r="G98" s="683"/>
      <c r="H98" s="68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84" t="str">
        <f>authorName</f>
        <v>Анелия Илиева Илиева</v>
      </c>
      <c r="C100" s="684"/>
      <c r="D100" s="684"/>
      <c r="E100" s="684"/>
      <c r="F100" s="684"/>
      <c r="G100" s="684"/>
      <c r="H100" s="68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85"/>
      <c r="C102" s="685"/>
      <c r="D102" s="685"/>
      <c r="E102" s="685"/>
      <c r="F102" s="685"/>
      <c r="G102" s="685"/>
      <c r="H102" s="685"/>
    </row>
    <row r="103" spans="1:13" ht="21.75" customHeight="1">
      <c r="A103" s="662"/>
      <c r="B103" s="686" t="str">
        <f>Начална!B17</f>
        <v>Васил Борисов Тренев</v>
      </c>
      <c r="C103" s="681"/>
      <c r="D103" s="681"/>
      <c r="E103" s="681"/>
      <c r="M103" s="92"/>
    </row>
    <row r="104" spans="1:5" ht="21.75" customHeight="1">
      <c r="A104" s="662"/>
      <c r="B104" s="681" t="s">
        <v>952</v>
      </c>
      <c r="C104" s="681"/>
      <c r="D104" s="681"/>
      <c r="E104" s="681"/>
    </row>
    <row r="105" spans="1:13" ht="21.75" customHeight="1">
      <c r="A105" s="662"/>
      <c r="B105" s="682">
        <f>G95-B106</f>
        <v>0</v>
      </c>
      <c r="C105" s="681"/>
      <c r="D105" s="681"/>
      <c r="E105" s="681"/>
      <c r="M105" s="92"/>
    </row>
    <row r="106" spans="1:5" ht="21.75" customHeight="1">
      <c r="A106" s="662"/>
      <c r="B106" s="681">
        <f>'[9]BS_KFN'!$C$50</f>
        <v>402081</v>
      </c>
      <c r="C106" s="681"/>
      <c r="D106" s="681"/>
      <c r="E106" s="681"/>
    </row>
    <row r="107" spans="1:13" ht="21.75" customHeight="1">
      <c r="A107" s="662"/>
      <c r="B107" s="682">
        <f>B106-C95</f>
        <v>0.49190000002272427</v>
      </c>
      <c r="C107" s="681"/>
      <c r="D107" s="681"/>
      <c r="E107" s="681"/>
      <c r="M107" s="92"/>
    </row>
    <row r="108" spans="1:5" ht="21.75" customHeight="1">
      <c r="A108" s="662"/>
      <c r="B108" s="682">
        <f>C95-G95</f>
        <v>-0.49190000002272427</v>
      </c>
      <c r="C108" s="681"/>
      <c r="D108" s="681"/>
      <c r="E108" s="681"/>
    </row>
    <row r="109" spans="1:13" ht="21.75" customHeight="1">
      <c r="A109" s="662"/>
      <c r="B109" s="682">
        <f>H95-D95</f>
        <v>0.4706199999782257</v>
      </c>
      <c r="C109" s="681"/>
      <c r="D109" s="681"/>
      <c r="E109" s="681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42" sqref="C42"/>
    </sheetView>
  </sheetViews>
  <sheetFormatPr defaultColWidth="9.140625" defaultRowHeight="15"/>
  <cols>
    <col min="1" max="1" width="50.8515625" style="537" customWidth="1"/>
    <col min="2" max="2" width="10.8515625" style="537" customWidth="1"/>
    <col min="3" max="4" width="15.8515625" style="182" customWidth="1"/>
    <col min="5" max="5" width="50.8515625" style="537" customWidth="1"/>
    <col min="6" max="6" width="10.8515625" style="537" customWidth="1"/>
    <col min="7" max="8" width="15.8515625" style="182" customWidth="1"/>
    <col min="9" max="16384" width="9.1406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-'[9]PL'!M12</f>
        <v>12592</v>
      </c>
      <c r="D12" s="307">
        <f>-'[6]PL'!N12</f>
        <v>4474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-'[9]PL'!M13</f>
        <v>50531</v>
      </c>
      <c r="D13" s="307">
        <f>-'[6]PL'!N13</f>
        <v>13275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-'[9]PL'!M14</f>
        <v>50036</v>
      </c>
      <c r="D14" s="307">
        <f>-'[6]PL'!N14</f>
        <v>20215</v>
      </c>
      <c r="E14" s="236" t="s">
        <v>285</v>
      </c>
      <c r="F14" s="231" t="s">
        <v>286</v>
      </c>
      <c r="G14" s="307">
        <f>'[9]PL'!M$7+'[9]PL'!M$8</f>
        <v>175672</v>
      </c>
      <c r="H14" s="307">
        <f>'[6]PL'!N$7+'[6]PL'!N$8</f>
        <v>82184</v>
      </c>
    </row>
    <row r="15" spans="1:8" ht="15.75">
      <c r="A15" s="185" t="s">
        <v>287</v>
      </c>
      <c r="B15" s="181" t="s">
        <v>288</v>
      </c>
      <c r="C15" s="307">
        <f>-'[9]PL'!M15</f>
        <v>27081</v>
      </c>
      <c r="D15" s="307">
        <f>-'[6]PL'!N15</f>
        <v>11633</v>
      </c>
      <c r="E15" s="236" t="s">
        <v>79</v>
      </c>
      <c r="F15" s="231" t="s">
        <v>289</v>
      </c>
      <c r="G15" s="307">
        <f>'[9]PL'!M$9</f>
        <v>30568</v>
      </c>
      <c r="H15" s="308">
        <f>'[6]PL'!N$9</f>
        <v>11563</v>
      </c>
    </row>
    <row r="16" spans="1:8" ht="15.75">
      <c r="A16" s="185" t="s">
        <v>290</v>
      </c>
      <c r="B16" s="181" t="s">
        <v>291</v>
      </c>
      <c r="C16" s="307">
        <f>-'[9]PL'!M16</f>
        <v>7764</v>
      </c>
      <c r="D16" s="307">
        <f>-'[6]PL'!N16</f>
        <v>2853</v>
      </c>
      <c r="E16" s="227" t="s">
        <v>52</v>
      </c>
      <c r="F16" s="255" t="s">
        <v>292</v>
      </c>
      <c r="G16" s="596">
        <f>SUM(G12:G15)</f>
        <v>206240</v>
      </c>
      <c r="H16" s="597">
        <f>SUM(H12:H15)</f>
        <v>93747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f>-('[9]PL'!M$17+'[9]PL'!M$18+'[9]PL'!M$19)</f>
        <v>15831</v>
      </c>
      <c r="D19" s="307">
        <f>-('[6]PL'!N$17+'[6]PL'!N$18+'[6]PL'!N$19)</f>
        <v>17475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-'[9]PL'!M$17</f>
        <v>8691</v>
      </c>
      <c r="D20" s="307">
        <f>-'[6]PL'!N$17</f>
        <v>4529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('[10]AJUR'!$L$517+'[10]AJUR'!$L$521)/1000</f>
        <v>753.2239099999999</v>
      </c>
      <c r="D21" s="308">
        <f>'[7]2-Отчет за доходите'!$D$21</f>
        <v>-454.29477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163835</v>
      </c>
      <c r="D22" s="597">
        <f>SUM(D12:D18)+D19</f>
        <v>69925</v>
      </c>
      <c r="E22" s="185" t="s">
        <v>309</v>
      </c>
      <c r="F22" s="228" t="s">
        <v>310</v>
      </c>
      <c r="G22" s="307">
        <f>ROUND('[10]NoteP&amp;L'!$C$81/1000+'[10]NoteP&amp;L'!$C$83/1000,0)</f>
        <v>10</v>
      </c>
      <c r="H22" s="308">
        <f>'[8]2-Отчет за доходите'!G22</f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f>'[8]2-Отчет за доходите'!G23</f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f>'[8]2-Отчет за доходите'!G24</f>
        <v>0</v>
      </c>
    </row>
    <row r="25" spans="1:8" ht="31.5">
      <c r="A25" s="185" t="s">
        <v>316</v>
      </c>
      <c r="B25" s="228" t="s">
        <v>317</v>
      </c>
      <c r="C25" s="307">
        <f>-ROUND(SUM('[10]NoteP&amp;L'!$C$88:$C$94)/1000,0)</f>
        <v>1239</v>
      </c>
      <c r="D25" s="308">
        <f>'[7]2-Отчет за доходите'!$D$25</f>
        <v>1752</v>
      </c>
      <c r="E25" s="185" t="s">
        <v>318</v>
      </c>
      <c r="F25" s="228" t="s">
        <v>319</v>
      </c>
      <c r="G25" s="307">
        <f>ROUND('[10]NoteP&amp;L'!$C$85/1000,0)</f>
        <v>0</v>
      </c>
      <c r="H25" s="308">
        <f>'[8]2-Отчет за доходите'!G25</f>
        <v>0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ROUND('[3]NoteP&amp;L'!$C$77/1000,0)</f>
        <v>0</v>
      </c>
      <c r="H26" s="308">
        <f>'[8]2-Отчет за доходите'!G26</f>
        <v>0</v>
      </c>
    </row>
    <row r="27" spans="1:8" ht="31.5">
      <c r="A27" s="185" t="s">
        <v>324</v>
      </c>
      <c r="B27" s="228" t="s">
        <v>325</v>
      </c>
      <c r="C27" s="307">
        <f>-ROUND('[10]NoteP&amp;L'!$C$96/1000,0)</f>
        <v>20</v>
      </c>
      <c r="D27" s="308">
        <f>'[7]2-Отчет за доходите'!$D$27</f>
        <v>21</v>
      </c>
      <c r="E27" s="227" t="s">
        <v>104</v>
      </c>
      <c r="F27" s="229" t="s">
        <v>326</v>
      </c>
      <c r="G27" s="596">
        <f>SUM(G22:G26)</f>
        <v>10</v>
      </c>
      <c r="H27" s="597">
        <f>SUM(H22:H26)</f>
        <v>1</v>
      </c>
    </row>
    <row r="28" spans="1:8" ht="15.75">
      <c r="A28" s="185" t="s">
        <v>79</v>
      </c>
      <c r="B28" s="228" t="s">
        <v>327</v>
      </c>
      <c r="C28" s="307">
        <f>-'[10]NoteP&amp;L'!$C$95/1000</f>
        <v>58.58655</v>
      </c>
      <c r="D28" s="308">
        <f>'[7]2-Отчет за доходите'!$D$28</f>
        <v>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1317.58655</v>
      </c>
      <c r="D29" s="597">
        <f>SUM(D25:D28)</f>
        <v>1843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165152.58655</v>
      </c>
      <c r="D31" s="603">
        <f>D29+D22</f>
        <v>71768</v>
      </c>
      <c r="E31" s="242" t="s">
        <v>800</v>
      </c>
      <c r="F31" s="257" t="s">
        <v>331</v>
      </c>
      <c r="G31" s="244">
        <f>G16+G18+G27</f>
        <v>206250</v>
      </c>
      <c r="H31" s="245">
        <f>H16+H18+H27</f>
        <v>93748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41097.41344999999</v>
      </c>
      <c r="D33" s="235">
        <f>IF((H31-D31)&gt;0,H31-D31,0)</f>
        <v>21980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165152.58655</v>
      </c>
      <c r="D36" s="605">
        <f>D31-D34+D35</f>
        <v>71768</v>
      </c>
      <c r="E36" s="253" t="s">
        <v>346</v>
      </c>
      <c r="F36" s="247" t="s">
        <v>347</v>
      </c>
      <c r="G36" s="258">
        <f>G35-G34+G31</f>
        <v>206250</v>
      </c>
      <c r="H36" s="259">
        <f>H35-H34+H31</f>
        <v>93748</v>
      </c>
    </row>
    <row r="37" spans="1:8" ht="15.75">
      <c r="A37" s="252" t="s">
        <v>348</v>
      </c>
      <c r="B37" s="222" t="s">
        <v>349</v>
      </c>
      <c r="C37" s="602">
        <f>IF((G36-C36)&gt;0,G36-C36,0)</f>
        <v>41097.41344999999</v>
      </c>
      <c r="D37" s="603">
        <f>IF((H36-D36)&gt;0,H36-D36,0)</f>
        <v>21980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4638</v>
      </c>
      <c r="D38" s="597">
        <f>D39+D40+D41</f>
        <v>2224.4171503021803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-'[9]PL'!G$28</f>
        <v>5594</v>
      </c>
      <c r="D39" s="308">
        <f>'[7]2-Отчет за доходите'!$D$39</f>
        <v>2525.0505069877104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-'[9]PL'!G$29</f>
        <v>-956</v>
      </c>
      <c r="D40" s="308">
        <f>'[7]2-Отчет за доходите'!$D$40</f>
        <v>-300.63335668553003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36459.41344999999</v>
      </c>
      <c r="D42" s="235">
        <f>+IF((H36-D36-D38)&gt;0,H36-D36-D38,0)</f>
        <v>19755.58284969782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36459.41344999999</v>
      </c>
      <c r="D44" s="259">
        <f>IF(H42=0,IF(D42-D43&gt;0,D42-D43+H43,0),IF(H42-H43&lt;0,H43-H42+D42,0))</f>
        <v>19755.58284969782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206250</v>
      </c>
      <c r="D45" s="599">
        <f>D36+D38+D42</f>
        <v>93748</v>
      </c>
      <c r="E45" s="261" t="s">
        <v>373</v>
      </c>
      <c r="F45" s="263" t="s">
        <v>374</v>
      </c>
      <c r="G45" s="598">
        <f>G42+G36</f>
        <v>206250</v>
      </c>
      <c r="H45" s="599">
        <f>H42+H36</f>
        <v>93748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87" t="s">
        <v>951</v>
      </c>
      <c r="B47" s="687"/>
      <c r="C47" s="687"/>
      <c r="D47" s="687"/>
      <c r="E47" s="687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83">
        <f>pdeReportingDate</f>
        <v>44029</v>
      </c>
      <c r="C50" s="683"/>
      <c r="D50" s="683"/>
      <c r="E50" s="683"/>
      <c r="F50" s="683"/>
      <c r="G50" s="683"/>
      <c r="H50" s="68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84" t="str">
        <f>authorName</f>
        <v>Анелия Илиева Илиева</v>
      </c>
      <c r="C52" s="684"/>
      <c r="D52" s="684"/>
      <c r="E52" s="684"/>
      <c r="F52" s="684"/>
      <c r="G52" s="684"/>
      <c r="H52" s="68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85"/>
      <c r="C54" s="685"/>
      <c r="D54" s="685"/>
      <c r="E54" s="685"/>
      <c r="F54" s="685"/>
      <c r="G54" s="685"/>
      <c r="H54" s="685"/>
    </row>
    <row r="55" spans="1:8" ht="15.75" customHeight="1">
      <c r="A55" s="662"/>
      <c r="B55" s="686" t="str">
        <f>'1-Баланс'!B103:E103</f>
        <v>Васил Борисов Тренев</v>
      </c>
      <c r="C55" s="681"/>
      <c r="D55" s="681"/>
      <c r="E55" s="681"/>
      <c r="F55" s="542"/>
      <c r="G55" s="44"/>
      <c r="H55" s="41"/>
    </row>
    <row r="56" spans="1:8" ht="15.75" customHeight="1">
      <c r="A56" s="662"/>
      <c r="B56" s="681" t="s">
        <v>952</v>
      </c>
      <c r="C56" s="681"/>
      <c r="D56" s="681"/>
      <c r="E56" s="681"/>
      <c r="F56" s="542"/>
      <c r="G56" s="44"/>
      <c r="H56" s="41"/>
    </row>
    <row r="57" spans="1:8" ht="15.75" customHeight="1">
      <c r="A57" s="662"/>
      <c r="B57" s="681" t="s">
        <v>952</v>
      </c>
      <c r="C57" s="681"/>
      <c r="D57" s="681"/>
      <c r="E57" s="681"/>
      <c r="F57" s="542"/>
      <c r="G57" s="44"/>
      <c r="H57" s="41"/>
    </row>
    <row r="58" spans="1:8" ht="15.75" customHeight="1">
      <c r="A58" s="662"/>
      <c r="B58" s="681" t="s">
        <v>952</v>
      </c>
      <c r="C58" s="681"/>
      <c r="D58" s="681"/>
      <c r="E58" s="681"/>
      <c r="F58" s="542"/>
      <c r="G58" s="44"/>
      <c r="H58" s="41"/>
    </row>
    <row r="59" spans="1:8" ht="15.75">
      <c r="A59" s="662"/>
      <c r="B59" s="681"/>
      <c r="C59" s="681"/>
      <c r="D59" s="681"/>
      <c r="E59" s="681"/>
      <c r="F59" s="542"/>
      <c r="G59" s="44"/>
      <c r="H59" s="41"/>
    </row>
    <row r="60" spans="1:8" ht="15.75">
      <c r="A60" s="662"/>
      <c r="B60" s="681"/>
      <c r="C60" s="681"/>
      <c r="D60" s="681"/>
      <c r="E60" s="681"/>
      <c r="F60" s="542"/>
      <c r="G60" s="44"/>
      <c r="H60" s="41"/>
    </row>
    <row r="61" spans="1:8" ht="15.75">
      <c r="A61" s="662"/>
      <c r="B61" s="681"/>
      <c r="C61" s="681"/>
      <c r="D61" s="681"/>
      <c r="E61" s="681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2" sqref="C42"/>
    </sheetView>
  </sheetViews>
  <sheetFormatPr defaultColWidth="9.140625" defaultRowHeight="15"/>
  <cols>
    <col min="1" max="1" width="69.8515625" style="162" customWidth="1"/>
    <col min="2" max="2" width="11.8515625" style="162" bestFit="1" customWidth="1"/>
    <col min="3" max="4" width="22.851562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1406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ROUND('[11]CF_Conso_2019'!$O$12,0)+1</f>
        <v>202243</v>
      </c>
      <c r="D11" s="187">
        <f>'[5]3-Отчет за паричния поток'!C11</f>
        <v>188922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>
        <f>'[5]3-Отчет за паричния поток'!C12</f>
        <v>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f>'[5]3-Отчет за паричния поток'!C13</f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ROUND('[11]CF_Conso_2019'!$O$14,0)</f>
        <v>-31955</v>
      </c>
      <c r="D14" s="187">
        <f>'[5]3-Отчет за паричния поток'!C14</f>
        <v>-30674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ROUND('[11]CF_Conso_2019'!$O$37+'[11]CF_Conso_2019'!$O$38,0)</f>
        <v>-18702</v>
      </c>
      <c r="D15" s="187">
        <f>'[5]3-Отчет за паричния поток'!C15</f>
        <v>-17404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ROUND('[11]CF_Conso_2019'!$O$36,0)</f>
        <v>-5325</v>
      </c>
      <c r="D16" s="187">
        <f>'[5]3-Отчет за паричния поток'!C16</f>
        <v>-4701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f>'[5]3-Отчет за паричния поток'!C17</f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f>'[5]3-Отчет за паричния поток'!C18</f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f>'[5]3-Отчет за паричния поток'!C19</f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ROUND(SUM('[11]CF_Conso_2019'!$O$15:$O$22)+'[11]CF_Conso_2019'!$O$30,0)-1</f>
        <v>-59719</v>
      </c>
      <c r="D20" s="187">
        <f>'[5]3-Отчет за паричния поток'!C20</f>
        <v>-56718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86542</v>
      </c>
      <c r="D21" s="627">
        <f>SUM(D11:D20)</f>
        <v>79425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ROUND('[11]CF_Conso_2019'!$O$34,0)</f>
        <v>-42012</v>
      </c>
      <c r="D23" s="187">
        <f>'[5]3-Отчет за паричния поток'!$C$23</f>
        <v>-40182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-42012</v>
      </c>
      <c r="D33" s="627">
        <f>SUM(D23:D32)</f>
        <v>-40182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'[11]CF_Conso_2019'!$O$46</f>
        <v>0</v>
      </c>
      <c r="D37" s="187">
        <f>'[5]3-Отчет за паричния поток'!C37</f>
        <v>98319.86551999999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ROUND('[11]CF_Conso_2019'!$O$52,0)</f>
        <v>-28607</v>
      </c>
      <c r="D38" s="188">
        <f>'[5]3-Отчет за паричния поток'!C38</f>
        <v>-123184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ROUND('[11]CF_Conso_2019'!$O$47,0)</f>
        <v>-1149</v>
      </c>
      <c r="D39" s="188">
        <f>'[5]3-Отчет за паричния поток'!C39</f>
        <v>-1350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ROUND(SUM('[11]CF_Conso_2019'!$O$41:$O$43)+'[11]CF_Conso_2019'!$O$45,0)</f>
        <v>-847</v>
      </c>
      <c r="D40" s="188">
        <f>'[5]3-Отчет за паричния поток'!C40</f>
        <v>-3127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>
        <f>'[5]3-Отчет за паричния поток'!C41</f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ROUND('[11]CF_Conso_2019'!$O$44,0)</f>
        <v>251</v>
      </c>
      <c r="D42" s="188">
        <f>'[5]3-Отчет за паричния поток'!C42</f>
        <v>249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-30352</v>
      </c>
      <c r="D43" s="629">
        <f>SUM(D35:D42)</f>
        <v>-29092.134480000008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14178</v>
      </c>
      <c r="D44" s="298">
        <f>D43+D33+D21</f>
        <v>10150.865519999992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D46</f>
        <v>36014.71429999999</v>
      </c>
      <c r="D45" s="300">
        <f>'[5]3-Отчет за паричния поток'!$C$45</f>
        <v>25863.84878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50192.71429999999</v>
      </c>
      <c r="D46" s="302">
        <f>D45+D44</f>
        <v>36014.71429999999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50192.71429999999</v>
      </c>
      <c r="D47" s="289">
        <f>D46</f>
        <v>36014.71429999999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'[7]3-Отчет за паричния поток'!$C$48</f>
        <v>1088</v>
      </c>
      <c r="D48" s="272">
        <f>'[5]3-Отчет за паричния поток'!$C$48</f>
        <v>775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88" t="s">
        <v>947</v>
      </c>
      <c r="B51" s="688"/>
      <c r="C51" s="688"/>
      <c r="D51" s="688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83">
        <f>pdeReportingDate</f>
        <v>44029</v>
      </c>
      <c r="C54" s="683"/>
      <c r="D54" s="683"/>
      <c r="E54" s="683"/>
      <c r="F54" s="663"/>
      <c r="G54" s="663"/>
      <c r="H54" s="663"/>
      <c r="M54" s="92"/>
    </row>
    <row r="55" spans="1:13" s="41" customFormat="1" ht="15.75">
      <c r="A55" s="660"/>
      <c r="B55" s="683"/>
      <c r="C55" s="683"/>
      <c r="D55" s="683"/>
      <c r="E55" s="683"/>
      <c r="F55" s="51"/>
      <c r="G55" s="51"/>
      <c r="H55" s="51"/>
      <c r="M55" s="92"/>
    </row>
    <row r="56" spans="1:8" s="41" customFormat="1" ht="15.75">
      <c r="A56" s="661" t="s">
        <v>8</v>
      </c>
      <c r="B56" s="684" t="str">
        <f>authorName</f>
        <v>Анелия Илиева Илиева</v>
      </c>
      <c r="C56" s="684"/>
      <c r="D56" s="684"/>
      <c r="E56" s="684"/>
      <c r="F56" s="75"/>
      <c r="G56" s="75"/>
      <c r="H56" s="75"/>
    </row>
    <row r="57" spans="1:8" s="41" customFormat="1" ht="15.75">
      <c r="A57" s="661"/>
      <c r="B57" s="684"/>
      <c r="C57" s="684"/>
      <c r="D57" s="684"/>
      <c r="E57" s="684"/>
      <c r="F57" s="75"/>
      <c r="G57" s="75"/>
      <c r="H57" s="75"/>
    </row>
    <row r="58" spans="1:8" s="41" customFormat="1" ht="15.75">
      <c r="A58" s="661" t="s">
        <v>894</v>
      </c>
      <c r="B58" s="684"/>
      <c r="C58" s="684"/>
      <c r="D58" s="684"/>
      <c r="E58" s="684"/>
      <c r="F58" s="75"/>
      <c r="G58" s="75"/>
      <c r="H58" s="75"/>
    </row>
    <row r="59" spans="1:8" s="182" customFormat="1" ht="15.75">
      <c r="A59" s="662"/>
      <c r="B59" s="686" t="str">
        <f>'2-Отчет за доходите'!B55:E55</f>
        <v>Васил Борисов Тренев</v>
      </c>
      <c r="C59" s="681"/>
      <c r="D59" s="681"/>
      <c r="E59" s="681"/>
      <c r="F59" s="542"/>
      <c r="G59" s="44"/>
      <c r="H59" s="41"/>
    </row>
    <row r="60" spans="1:8" ht="15.75">
      <c r="A60" s="662"/>
      <c r="B60" s="681" t="s">
        <v>952</v>
      </c>
      <c r="C60" s="681"/>
      <c r="D60" s="681"/>
      <c r="E60" s="681"/>
      <c r="F60" s="542"/>
      <c r="G60" s="44"/>
      <c r="H60" s="41"/>
    </row>
    <row r="61" spans="1:8" ht="15.75">
      <c r="A61" s="662"/>
      <c r="B61" s="681" t="s">
        <v>952</v>
      </c>
      <c r="C61" s="681"/>
      <c r="D61" s="681"/>
      <c r="E61" s="681"/>
      <c r="F61" s="542"/>
      <c r="G61" s="44"/>
      <c r="H61" s="41"/>
    </row>
    <row r="62" spans="1:8" ht="15.75">
      <c r="A62" s="662"/>
      <c r="B62" s="681" t="s">
        <v>952</v>
      </c>
      <c r="C62" s="681"/>
      <c r="D62" s="681"/>
      <c r="E62" s="681"/>
      <c r="F62" s="542"/>
      <c r="G62" s="44"/>
      <c r="H62" s="41"/>
    </row>
    <row r="63" spans="1:8" ht="15.75">
      <c r="A63" s="662"/>
      <c r="B63" s="681"/>
      <c r="C63" s="681"/>
      <c r="D63" s="681"/>
      <c r="E63" s="681"/>
      <c r="F63" s="542"/>
      <c r="G63" s="44"/>
      <c r="H63" s="41"/>
    </row>
    <row r="64" spans="1:8" ht="15.75">
      <c r="A64" s="662"/>
      <c r="B64" s="682">
        <f>C47-'1-Баланс'!C92</f>
        <v>-0.28570000000763685</v>
      </c>
      <c r="C64" s="681"/>
      <c r="D64" s="681"/>
      <c r="E64" s="681"/>
      <c r="F64" s="542"/>
      <c r="G64" s="44"/>
      <c r="H64" s="41"/>
    </row>
    <row r="65" spans="1:8" ht="15.75">
      <c r="A65" s="662"/>
      <c r="B65" s="682">
        <f>D46-'[2]3-Отчет за паричния поток'!$C$46</f>
        <v>10275.787711999998</v>
      </c>
      <c r="C65" s="681"/>
      <c r="D65" s="681"/>
      <c r="E65" s="681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15" sqref="I15"/>
    </sheetView>
  </sheetViews>
  <sheetFormatPr defaultColWidth="9.140625" defaultRowHeight="15"/>
  <cols>
    <col min="1" max="1" width="50.8515625" style="530" customWidth="1"/>
    <col min="2" max="2" width="10.8515625" style="531" customWidth="1"/>
    <col min="3" max="3" width="10.8515625" style="158" customWidth="1"/>
    <col min="4" max="4" width="12.8515625" style="158" customWidth="1"/>
    <col min="5" max="8" width="11.8515625" style="158" customWidth="1"/>
    <col min="9" max="10" width="10.8515625" style="158" customWidth="1"/>
    <col min="11" max="11" width="11.140625" style="158" customWidth="1"/>
    <col min="12" max="12" width="14.8515625" style="158" customWidth="1"/>
    <col min="13" max="13" width="16.8515625" style="158" customWidth="1"/>
    <col min="14" max="14" width="11.00390625" style="158" customWidth="1"/>
    <col min="15" max="16384" width="9.1406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93" t="s">
        <v>453</v>
      </c>
      <c r="B8" s="696" t="s">
        <v>454</v>
      </c>
      <c r="C8" s="689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89" t="s">
        <v>460</v>
      </c>
      <c r="L8" s="689" t="s">
        <v>461</v>
      </c>
      <c r="M8" s="499"/>
      <c r="N8" s="500"/>
    </row>
    <row r="9" spans="1:14" s="501" customFormat="1" ht="31.5">
      <c r="A9" s="694"/>
      <c r="B9" s="697"/>
      <c r="C9" s="690"/>
      <c r="D9" s="692" t="s">
        <v>802</v>
      </c>
      <c r="E9" s="692" t="s">
        <v>456</v>
      </c>
      <c r="F9" s="503" t="s">
        <v>457</v>
      </c>
      <c r="G9" s="503"/>
      <c r="H9" s="503"/>
      <c r="I9" s="699" t="s">
        <v>458</v>
      </c>
      <c r="J9" s="699" t="s">
        <v>459</v>
      </c>
      <c r="K9" s="690"/>
      <c r="L9" s="690"/>
      <c r="M9" s="504" t="s">
        <v>801</v>
      </c>
      <c r="N9" s="500"/>
    </row>
    <row r="10" spans="1:14" s="501" customFormat="1" ht="31.5">
      <c r="A10" s="695"/>
      <c r="B10" s="698"/>
      <c r="C10" s="691"/>
      <c r="D10" s="692"/>
      <c r="E10" s="692"/>
      <c r="F10" s="502" t="s">
        <v>462</v>
      </c>
      <c r="G10" s="502" t="s">
        <v>463</v>
      </c>
      <c r="H10" s="502" t="s">
        <v>464</v>
      </c>
      <c r="I10" s="691"/>
      <c r="J10" s="691"/>
      <c r="K10" s="691"/>
      <c r="L10" s="691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8884</v>
      </c>
      <c r="D13" s="552">
        <f>'1-Баланс'!H20</f>
        <v>0</v>
      </c>
      <c r="E13" s="552">
        <f>'1-Баланс'!H21</f>
        <v>-348</v>
      </c>
      <c r="F13" s="552">
        <f>'1-Баланс'!H23</f>
        <v>10774</v>
      </c>
      <c r="G13" s="552">
        <f>'1-Баланс'!H24</f>
        <v>0</v>
      </c>
      <c r="H13" s="553"/>
      <c r="I13" s="552">
        <f>'1-Баланс'!H29+'1-Баланс'!H32</f>
        <v>238659</v>
      </c>
      <c r="J13" s="552">
        <f>'1-Баланс'!H30+'1-Баланс'!H33</f>
        <v>0</v>
      </c>
      <c r="K13" s="553"/>
      <c r="L13" s="552">
        <f>SUM(C13:K13)</f>
        <v>257969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-56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-56</v>
      </c>
      <c r="M14" s="306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7"/>
      <c r="D15" s="307"/>
      <c r="E15" s="307"/>
      <c r="F15" s="307"/>
      <c r="G15" s="307"/>
      <c r="H15" s="307"/>
      <c r="I15" s="307">
        <f>'[12]4-Отчет за собствения капитал'!$I$15</f>
        <v>-56</v>
      </c>
      <c r="J15" s="307"/>
      <c r="K15" s="307"/>
      <c r="L15" s="552">
        <f t="shared" si="1"/>
        <v>-56</v>
      </c>
      <c r="M15" s="308"/>
      <c r="N15" s="160"/>
    </row>
    <row r="16" spans="1:14" ht="15.75">
      <c r="A16" s="517" t="s">
        <v>473</v>
      </c>
      <c r="B16" s="518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5" t="s">
        <v>475</v>
      </c>
      <c r="B17" s="516" t="s">
        <v>476</v>
      </c>
      <c r="C17" s="621">
        <f>C13+C14</f>
        <v>8884</v>
      </c>
      <c r="D17" s="621">
        <f aca="true" t="shared" si="2" ref="D17:M17">D13+D14</f>
        <v>0</v>
      </c>
      <c r="E17" s="621">
        <f t="shared" si="2"/>
        <v>-348</v>
      </c>
      <c r="F17" s="621">
        <f t="shared" si="2"/>
        <v>10774</v>
      </c>
      <c r="G17" s="621">
        <f t="shared" si="2"/>
        <v>0</v>
      </c>
      <c r="H17" s="621">
        <f t="shared" si="2"/>
        <v>0</v>
      </c>
      <c r="I17" s="621">
        <f t="shared" si="2"/>
        <v>238603</v>
      </c>
      <c r="J17" s="621">
        <f t="shared" si="2"/>
        <v>0</v>
      </c>
      <c r="K17" s="621">
        <f t="shared" si="2"/>
        <v>0</v>
      </c>
      <c r="L17" s="552">
        <f t="shared" si="1"/>
        <v>257913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36459</v>
      </c>
      <c r="J18" s="552">
        <f>+'1-Баланс'!G33</f>
        <v>0</v>
      </c>
      <c r="K18" s="553"/>
      <c r="L18" s="552">
        <f t="shared" si="1"/>
        <v>36459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19" t="s">
        <v>481</v>
      </c>
      <c r="B20" s="520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19" t="s">
        <v>483</v>
      </c>
      <c r="B21" s="520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7" t="s">
        <v>485</v>
      </c>
      <c r="B22" s="518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7" t="s">
        <v>491</v>
      </c>
      <c r="B25" s="518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-121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-121</v>
      </c>
      <c r="M26" s="306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7"/>
      <c r="D27" s="307"/>
      <c r="E27" s="307">
        <f>'[12]4-Отчет за собствения капитал'!$E$27</f>
        <v>-121</v>
      </c>
      <c r="F27" s="307"/>
      <c r="G27" s="307"/>
      <c r="H27" s="307"/>
      <c r="I27" s="307"/>
      <c r="J27" s="307"/>
      <c r="K27" s="307"/>
      <c r="L27" s="552">
        <f t="shared" si="1"/>
        <v>-121</v>
      </c>
      <c r="M27" s="308"/>
      <c r="N27" s="160"/>
    </row>
    <row r="28" spans="1:14" ht="15.75">
      <c r="A28" s="517" t="s">
        <v>491</v>
      </c>
      <c r="B28" s="518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7" t="s">
        <v>497</v>
      </c>
      <c r="B29" s="518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7" t="s">
        <v>499</v>
      </c>
      <c r="B30" s="518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2">
        <f t="shared" si="1"/>
        <v>0</v>
      </c>
      <c r="M30" s="308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8884</v>
      </c>
      <c r="D31" s="621">
        <f aca="true" t="shared" si="6" ref="D31:M31">D19+D22+D23+D26+D30+D29+D17+D18</f>
        <v>0</v>
      </c>
      <c r="E31" s="621">
        <f t="shared" si="6"/>
        <v>-469</v>
      </c>
      <c r="F31" s="621">
        <f t="shared" si="6"/>
        <v>10774</v>
      </c>
      <c r="G31" s="621">
        <f t="shared" si="6"/>
        <v>0</v>
      </c>
      <c r="H31" s="621">
        <f t="shared" si="6"/>
        <v>0</v>
      </c>
      <c r="I31" s="621">
        <f t="shared" si="6"/>
        <v>275062</v>
      </c>
      <c r="J31" s="621">
        <f t="shared" si="6"/>
        <v>0</v>
      </c>
      <c r="K31" s="621">
        <f t="shared" si="6"/>
        <v>0</v>
      </c>
      <c r="L31" s="552">
        <f t="shared" si="1"/>
        <v>294251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1" t="s">
        <v>505</v>
      </c>
      <c r="B33" s="522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8884</v>
      </c>
      <c r="D34" s="555">
        <f t="shared" si="7"/>
        <v>0</v>
      </c>
      <c r="E34" s="555">
        <f t="shared" si="7"/>
        <v>-469</v>
      </c>
      <c r="F34" s="555">
        <f t="shared" si="7"/>
        <v>10774</v>
      </c>
      <c r="G34" s="555">
        <f t="shared" si="7"/>
        <v>0</v>
      </c>
      <c r="H34" s="555">
        <f t="shared" si="7"/>
        <v>0</v>
      </c>
      <c r="I34" s="555">
        <f t="shared" si="7"/>
        <v>275062</v>
      </c>
      <c r="J34" s="555">
        <f t="shared" si="7"/>
        <v>0</v>
      </c>
      <c r="K34" s="555">
        <f t="shared" si="7"/>
        <v>0</v>
      </c>
      <c r="L34" s="619">
        <f t="shared" si="1"/>
        <v>294251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83">
        <f>pdeReportingDate</f>
        <v>44029</v>
      </c>
      <c r="C38" s="683"/>
      <c r="D38" s="683"/>
      <c r="E38" s="683"/>
      <c r="F38" s="683"/>
      <c r="G38" s="683"/>
      <c r="H38" s="68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84" t="str">
        <f>authorName</f>
        <v>Анелия Илиева Илиева</v>
      </c>
      <c r="C40" s="684"/>
      <c r="D40" s="684"/>
      <c r="E40" s="684"/>
      <c r="F40" s="684"/>
      <c r="G40" s="684"/>
      <c r="H40" s="68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85"/>
      <c r="C42" s="685"/>
      <c r="D42" s="685"/>
      <c r="E42" s="685"/>
      <c r="F42" s="685"/>
      <c r="G42" s="685"/>
      <c r="H42" s="685"/>
      <c r="M42" s="160"/>
    </row>
    <row r="43" spans="1:13" ht="15.75">
      <c r="A43" s="662"/>
      <c r="B43" s="686" t="str">
        <f>'3-Отчет за паричния поток'!B59:E59</f>
        <v>Васил Борисов Тренев</v>
      </c>
      <c r="C43" s="681"/>
      <c r="D43" s="681"/>
      <c r="E43" s="681"/>
      <c r="F43" s="542"/>
      <c r="G43" s="44"/>
      <c r="H43" s="41"/>
      <c r="M43" s="160"/>
    </row>
    <row r="44" spans="1:13" ht="15.75">
      <c r="A44" s="662"/>
      <c r="B44" s="681" t="s">
        <v>952</v>
      </c>
      <c r="C44" s="681"/>
      <c r="D44" s="681"/>
      <c r="E44" s="681"/>
      <c r="F44" s="542"/>
      <c r="G44" s="44"/>
      <c r="H44" s="41"/>
      <c r="M44" s="160"/>
    </row>
    <row r="45" spans="1:13" ht="15.75">
      <c r="A45" s="662"/>
      <c r="B45" s="681" t="s">
        <v>952</v>
      </c>
      <c r="C45" s="681"/>
      <c r="D45" s="681"/>
      <c r="E45" s="681"/>
      <c r="F45" s="542"/>
      <c r="G45" s="44"/>
      <c r="H45" s="41"/>
      <c r="M45" s="160"/>
    </row>
    <row r="46" spans="1:13" ht="15.75">
      <c r="A46" s="662"/>
      <c r="B46" s="681" t="s">
        <v>952</v>
      </c>
      <c r="C46" s="681"/>
      <c r="D46" s="681"/>
      <c r="E46" s="681"/>
      <c r="F46" s="542"/>
      <c r="G46" s="44"/>
      <c r="H46" s="41"/>
      <c r="M46" s="160"/>
    </row>
    <row r="47" spans="1:13" ht="15.75">
      <c r="A47" s="662"/>
      <c r="B47" s="681"/>
      <c r="C47" s="681"/>
      <c r="D47" s="681"/>
      <c r="E47" s="681"/>
      <c r="F47" s="542"/>
      <c r="G47" s="44"/>
      <c r="H47" s="41"/>
      <c r="M47" s="160"/>
    </row>
    <row r="48" spans="1:13" ht="15.75">
      <c r="A48" s="662"/>
      <c r="B48" s="681"/>
      <c r="C48" s="681"/>
      <c r="D48" s="681"/>
      <c r="E48" s="681"/>
      <c r="F48" s="542"/>
      <c r="G48" s="44"/>
      <c r="H48" s="41"/>
      <c r="M48" s="160"/>
    </row>
    <row r="49" spans="1:13" ht="15.75">
      <c r="A49" s="662"/>
      <c r="B49" s="681"/>
      <c r="C49" s="681"/>
      <c r="D49" s="681"/>
      <c r="E49" s="681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C9">
      <selection activeCell="M16" sqref="M16"/>
    </sheetView>
  </sheetViews>
  <sheetFormatPr defaultColWidth="10.8515625" defaultRowHeight="15"/>
  <cols>
    <col min="1" max="1" width="4.8515625" style="38" customWidth="1"/>
    <col min="2" max="2" width="55.8515625" style="38" customWidth="1"/>
    <col min="3" max="9" width="10.8515625" style="38" customWidth="1"/>
    <col min="10" max="10" width="13.8515625" style="38" customWidth="1"/>
    <col min="11" max="16" width="10.8515625" style="38" customWidth="1"/>
    <col min="17" max="18" width="14.8515625" style="38" customWidth="1"/>
    <col min="19" max="16384" width="10.851562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04" t="s">
        <v>453</v>
      </c>
      <c r="B7" s="705"/>
      <c r="C7" s="70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700" t="s">
        <v>513</v>
      </c>
      <c r="R7" s="702" t="s">
        <v>514</v>
      </c>
    </row>
    <row r="8" spans="1:18" s="119" customFormat="1" ht="66.75" customHeight="1">
      <c r="A8" s="706"/>
      <c r="B8" s="707"/>
      <c r="C8" s="70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1"/>
      <c r="R8" s="703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30" t="s">
        <v>521</v>
      </c>
      <c r="B11" s="312" t="s">
        <v>522</v>
      </c>
      <c r="C11" s="143" t="s">
        <v>523</v>
      </c>
      <c r="D11" s="669">
        <f>'[5]Справка 6'!J11</f>
        <v>185</v>
      </c>
      <c r="E11" s="669">
        <v>0</v>
      </c>
      <c r="F11" s="669">
        <v>0</v>
      </c>
      <c r="G11" s="671">
        <f>D11+E11-F11</f>
        <v>185</v>
      </c>
      <c r="H11" s="669"/>
      <c r="I11" s="669"/>
      <c r="J11" s="671">
        <f>G11+H11-I11</f>
        <v>185</v>
      </c>
      <c r="K11" s="669">
        <f>'[5]Справка 6'!N11</f>
        <v>0</v>
      </c>
      <c r="L11" s="669">
        <v>0</v>
      </c>
      <c r="M11" s="669">
        <v>0</v>
      </c>
      <c r="N11" s="671">
        <f>K11+L11-M11</f>
        <v>0</v>
      </c>
      <c r="O11" s="669"/>
      <c r="P11" s="669"/>
      <c r="Q11" s="671">
        <f aca="true" t="shared" si="0" ref="Q11:Q27">N11+O11-P11</f>
        <v>0</v>
      </c>
      <c r="R11" s="673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669">
        <f>'[5]Справка 6'!J12</f>
        <v>525</v>
      </c>
      <c r="E12" s="669">
        <v>4092</v>
      </c>
      <c r="F12" s="669">
        <v>664</v>
      </c>
      <c r="G12" s="671">
        <f aca="true" t="shared" si="2" ref="G12:G41">D12+E12-F12</f>
        <v>3953</v>
      </c>
      <c r="H12" s="669"/>
      <c r="I12" s="669"/>
      <c r="J12" s="671">
        <f aca="true" t="shared" si="3" ref="J12:J41">G12+H12-I12</f>
        <v>3953</v>
      </c>
      <c r="K12" s="669">
        <f>'[5]Справка 6'!N12+2599</f>
        <v>2834</v>
      </c>
      <c r="L12" s="669">
        <v>1097</v>
      </c>
      <c r="M12" s="669">
        <v>633</v>
      </c>
      <c r="N12" s="671">
        <f aca="true" t="shared" si="4" ref="N12:N41">K12+L12-M12</f>
        <v>3298</v>
      </c>
      <c r="O12" s="669"/>
      <c r="P12" s="669"/>
      <c r="Q12" s="671">
        <f t="shared" si="0"/>
        <v>3298</v>
      </c>
      <c r="R12" s="673">
        <f t="shared" si="1"/>
        <v>655</v>
      </c>
    </row>
    <row r="13" spans="1:18" ht="15.75">
      <c r="A13" s="330" t="s">
        <v>527</v>
      </c>
      <c r="B13" s="312" t="s">
        <v>528</v>
      </c>
      <c r="C13" s="143" t="s">
        <v>529</v>
      </c>
      <c r="D13" s="669">
        <f>'[5]Справка 6'!J13-18</f>
        <v>36407</v>
      </c>
      <c r="E13" s="669">
        <v>2080</v>
      </c>
      <c r="F13" s="669">
        <v>313</v>
      </c>
      <c r="G13" s="671">
        <f t="shared" si="2"/>
        <v>38174</v>
      </c>
      <c r="H13" s="669"/>
      <c r="I13" s="669"/>
      <c r="J13" s="671">
        <f t="shared" si="3"/>
        <v>38174</v>
      </c>
      <c r="K13" s="669">
        <f>'[5]Справка 6'!N13+479</f>
        <v>24319.63562</v>
      </c>
      <c r="L13" s="669">
        <v>3358</v>
      </c>
      <c r="M13" s="669">
        <v>291</v>
      </c>
      <c r="N13" s="671">
        <f t="shared" si="4"/>
        <v>27386.63562</v>
      </c>
      <c r="O13" s="669"/>
      <c r="P13" s="669"/>
      <c r="Q13" s="671">
        <f t="shared" si="0"/>
        <v>27386.63562</v>
      </c>
      <c r="R13" s="673">
        <f t="shared" si="1"/>
        <v>10787.364379999999</v>
      </c>
    </row>
    <row r="14" spans="1:18" ht="15.75">
      <c r="A14" s="330" t="s">
        <v>530</v>
      </c>
      <c r="B14" s="312" t="s">
        <v>531</v>
      </c>
      <c r="C14" s="143" t="s">
        <v>532</v>
      </c>
      <c r="D14" s="669">
        <f>'[5]Справка 6'!J14</f>
        <v>0</v>
      </c>
      <c r="E14" s="669"/>
      <c r="F14" s="669"/>
      <c r="G14" s="671">
        <f t="shared" si="2"/>
        <v>0</v>
      </c>
      <c r="H14" s="669"/>
      <c r="I14" s="669"/>
      <c r="J14" s="671">
        <f t="shared" si="3"/>
        <v>0</v>
      </c>
      <c r="K14" s="669">
        <f>'[5]Справка 6'!N14</f>
        <v>0</v>
      </c>
      <c r="L14" s="669"/>
      <c r="M14" s="669"/>
      <c r="N14" s="671">
        <f t="shared" si="4"/>
        <v>0</v>
      </c>
      <c r="O14" s="669"/>
      <c r="P14" s="669"/>
      <c r="Q14" s="671">
        <f t="shared" si="0"/>
        <v>0</v>
      </c>
      <c r="R14" s="673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9">
        <f>'[5]Справка 6'!J15-11</f>
        <v>16484</v>
      </c>
      <c r="E15" s="669">
        <v>3281</v>
      </c>
      <c r="F15" s="669">
        <v>405</v>
      </c>
      <c r="G15" s="671">
        <f>D15+E15-F15</f>
        <v>19360</v>
      </c>
      <c r="H15" s="669"/>
      <c r="I15" s="669"/>
      <c r="J15" s="671">
        <f t="shared" si="3"/>
        <v>19360</v>
      </c>
      <c r="K15" s="669">
        <f>'[5]Справка 6'!N15-12</f>
        <v>10148.835</v>
      </c>
      <c r="L15" s="669">
        <v>1632</v>
      </c>
      <c r="M15" s="669">
        <v>404</v>
      </c>
      <c r="N15" s="671">
        <f t="shared" si="4"/>
        <v>11376.835</v>
      </c>
      <c r="O15" s="669"/>
      <c r="P15" s="669"/>
      <c r="Q15" s="671">
        <f t="shared" si="0"/>
        <v>11376.835</v>
      </c>
      <c r="R15" s="673">
        <f>J15-Q15</f>
        <v>7983.165000000001</v>
      </c>
    </row>
    <row r="16" spans="1:18" ht="15.75">
      <c r="A16" s="351" t="s">
        <v>814</v>
      </c>
      <c r="B16" s="312" t="s">
        <v>536</v>
      </c>
      <c r="C16" s="143" t="s">
        <v>537</v>
      </c>
      <c r="D16" s="669">
        <f>'[5]Справка 6'!J16</f>
        <v>0</v>
      </c>
      <c r="E16" s="669"/>
      <c r="F16" s="669"/>
      <c r="G16" s="671">
        <f t="shared" si="2"/>
        <v>0</v>
      </c>
      <c r="H16" s="669"/>
      <c r="I16" s="669"/>
      <c r="J16" s="671">
        <f t="shared" si="3"/>
        <v>0</v>
      </c>
      <c r="K16" s="669">
        <f>'[5]Справка 6'!N16</f>
        <v>0</v>
      </c>
      <c r="L16" s="669"/>
      <c r="M16" s="669"/>
      <c r="N16" s="671">
        <f t="shared" si="4"/>
        <v>0</v>
      </c>
      <c r="O16" s="669"/>
      <c r="P16" s="669"/>
      <c r="Q16" s="671">
        <f t="shared" si="0"/>
        <v>0</v>
      </c>
      <c r="R16" s="673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>
        <f>'[5]Справка 6'!J17</f>
        <v>0</v>
      </c>
      <c r="E17" s="669">
        <v>4667</v>
      </c>
      <c r="F17" s="669">
        <v>4667.313150000001</v>
      </c>
      <c r="G17" s="671">
        <f t="shared" si="2"/>
        <v>-0.31315000000086</v>
      </c>
      <c r="H17" s="669"/>
      <c r="I17" s="669"/>
      <c r="J17" s="671">
        <f t="shared" si="3"/>
        <v>-0.31315000000086</v>
      </c>
      <c r="K17" s="669">
        <f>'[5]Справка 6'!N17</f>
        <v>0</v>
      </c>
      <c r="L17" s="669"/>
      <c r="M17" s="669"/>
      <c r="N17" s="671">
        <f t="shared" si="4"/>
        <v>0</v>
      </c>
      <c r="O17" s="669"/>
      <c r="P17" s="669"/>
      <c r="Q17" s="671">
        <f t="shared" si="0"/>
        <v>0</v>
      </c>
      <c r="R17" s="673">
        <f t="shared" si="1"/>
        <v>-0.31315000000086</v>
      </c>
    </row>
    <row r="18" spans="1:18" ht="15.75">
      <c r="A18" s="330" t="s">
        <v>541</v>
      </c>
      <c r="B18" s="146" t="s">
        <v>542</v>
      </c>
      <c r="C18" s="143" t="s">
        <v>543</v>
      </c>
      <c r="D18" s="669">
        <f>'[5]Справка 6'!J18</f>
        <v>1955</v>
      </c>
      <c r="E18" s="669">
        <v>128</v>
      </c>
      <c r="F18" s="669">
        <v>-0.31315000000086</v>
      </c>
      <c r="G18" s="671">
        <f t="shared" si="2"/>
        <v>2083.313150000001</v>
      </c>
      <c r="H18" s="669"/>
      <c r="I18" s="669"/>
      <c r="J18" s="671">
        <f t="shared" si="3"/>
        <v>2083.313150000001</v>
      </c>
      <c r="K18" s="669">
        <f>'[5]Справка 6'!N18-3+0.53</f>
        <v>1175.53</v>
      </c>
      <c r="L18" s="669">
        <v>95</v>
      </c>
      <c r="M18" s="669">
        <v>0</v>
      </c>
      <c r="N18" s="671">
        <f t="shared" si="4"/>
        <v>1270.53</v>
      </c>
      <c r="O18" s="669"/>
      <c r="P18" s="669"/>
      <c r="Q18" s="671">
        <f t="shared" si="0"/>
        <v>1270.53</v>
      </c>
      <c r="R18" s="673">
        <f t="shared" si="1"/>
        <v>812.7831500000009</v>
      </c>
    </row>
    <row r="19" spans="1:18" ht="15.75">
      <c r="A19" s="330"/>
      <c r="B19" s="313" t="s">
        <v>544</v>
      </c>
      <c r="C19" s="147" t="s">
        <v>545</v>
      </c>
      <c r="D19" s="670">
        <f>SUM(D11:D18)</f>
        <v>55556</v>
      </c>
      <c r="E19" s="670">
        <f>SUM(E11:E18)</f>
        <v>14248</v>
      </c>
      <c r="F19" s="670">
        <f>SUM(F11:F18)</f>
        <v>6049</v>
      </c>
      <c r="G19" s="671">
        <f t="shared" si="2"/>
        <v>63755</v>
      </c>
      <c r="H19" s="670">
        <f>SUM(H11:H18)</f>
        <v>0</v>
      </c>
      <c r="I19" s="670">
        <f>SUM(I11:I18)</f>
        <v>0</v>
      </c>
      <c r="J19" s="671">
        <f t="shared" si="3"/>
        <v>63755</v>
      </c>
      <c r="K19" s="670">
        <f>SUM(K11:K18)</f>
        <v>38478.00062</v>
      </c>
      <c r="L19" s="670">
        <f>SUM(L11:L18)</f>
        <v>6182</v>
      </c>
      <c r="M19" s="670">
        <f>SUM(M11:M18)</f>
        <v>1328</v>
      </c>
      <c r="N19" s="671">
        <f t="shared" si="4"/>
        <v>43332.00062</v>
      </c>
      <c r="O19" s="670">
        <f>SUM(O11:O18)</f>
        <v>0</v>
      </c>
      <c r="P19" s="670">
        <f>SUM(P11:P18)</f>
        <v>0</v>
      </c>
      <c r="Q19" s="671">
        <f t="shared" si="0"/>
        <v>43332.00062</v>
      </c>
      <c r="R19" s="673">
        <f t="shared" si="1"/>
        <v>20422.99938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'[5]Справка 6'!J23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'[5]Справка 6'!J24</f>
        <v>21197</v>
      </c>
      <c r="E24" s="669">
        <v>429</v>
      </c>
      <c r="F24" s="669"/>
      <c r="G24" s="320">
        <f t="shared" si="2"/>
        <v>21626</v>
      </c>
      <c r="H24" s="319"/>
      <c r="I24" s="319"/>
      <c r="J24" s="672">
        <f>G24+H24-I24</f>
        <v>21626</v>
      </c>
      <c r="K24" s="319">
        <f>'[5]Справка 6'!N24+1</f>
        <v>16667</v>
      </c>
      <c r="L24" s="319">
        <v>761</v>
      </c>
      <c r="M24" s="319"/>
      <c r="N24" s="320">
        <f t="shared" si="4"/>
        <v>17428</v>
      </c>
      <c r="O24" s="319"/>
      <c r="P24" s="319"/>
      <c r="Q24" s="320">
        <f t="shared" si="0"/>
        <v>17428</v>
      </c>
      <c r="R24" s="331">
        <f t="shared" si="1"/>
        <v>4198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'[5]Справка 6'!J25</f>
        <v>21041</v>
      </c>
      <c r="E25" s="669"/>
      <c r="F25" s="669"/>
      <c r="G25" s="320">
        <f t="shared" si="2"/>
        <v>21041</v>
      </c>
      <c r="H25" s="319"/>
      <c r="I25" s="319"/>
      <c r="J25" s="320">
        <f t="shared" si="3"/>
        <v>21041</v>
      </c>
      <c r="K25" s="319">
        <f>'[5]Справка 6'!N25</f>
        <v>21037</v>
      </c>
      <c r="L25" s="319">
        <v>0.49128</v>
      </c>
      <c r="M25" s="319"/>
      <c r="N25" s="671">
        <f t="shared" si="4"/>
        <v>21037.49128</v>
      </c>
      <c r="O25" s="319"/>
      <c r="P25" s="319"/>
      <c r="Q25" s="320">
        <f t="shared" si="0"/>
        <v>21037.49128</v>
      </c>
      <c r="R25" s="331">
        <f t="shared" si="1"/>
        <v>3.508720000001631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'[5]Справка 6'!J26-6937</f>
        <v>534138</v>
      </c>
      <c r="E26" s="669">
        <v>77345</v>
      </c>
      <c r="F26" s="669">
        <v>36219</v>
      </c>
      <c r="G26" s="320">
        <f t="shared" si="2"/>
        <v>575264</v>
      </c>
      <c r="H26" s="319"/>
      <c r="I26" s="319"/>
      <c r="J26" s="320">
        <f t="shared" si="3"/>
        <v>575264</v>
      </c>
      <c r="K26" s="319">
        <f>'[5]Справка 6'!N26+7188-1</f>
        <v>255157</v>
      </c>
      <c r="L26" s="319">
        <v>43093</v>
      </c>
      <c r="M26" s="319">
        <v>1</v>
      </c>
      <c r="N26" s="320">
        <f t="shared" si="4"/>
        <v>298249</v>
      </c>
      <c r="O26" s="319"/>
      <c r="P26" s="319"/>
      <c r="Q26" s="320">
        <f t="shared" si="0"/>
        <v>298249</v>
      </c>
      <c r="R26" s="331">
        <f t="shared" si="1"/>
        <v>277015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576376</v>
      </c>
      <c r="E27" s="323">
        <f aca="true" t="shared" si="5" ref="E27:P27">SUM(E23:E26)</f>
        <v>77774</v>
      </c>
      <c r="F27" s="323">
        <f t="shared" si="5"/>
        <v>36219</v>
      </c>
      <c r="G27" s="324">
        <f t="shared" si="2"/>
        <v>617931</v>
      </c>
      <c r="H27" s="323">
        <f t="shared" si="5"/>
        <v>0</v>
      </c>
      <c r="I27" s="323">
        <f t="shared" si="5"/>
        <v>0</v>
      </c>
      <c r="J27" s="324">
        <f t="shared" si="3"/>
        <v>617931</v>
      </c>
      <c r="K27" s="323">
        <f t="shared" si="5"/>
        <v>292861</v>
      </c>
      <c r="L27" s="674">
        <f t="shared" si="5"/>
        <v>43854.49128</v>
      </c>
      <c r="M27" s="674">
        <f t="shared" si="5"/>
        <v>1</v>
      </c>
      <c r="N27" s="675">
        <f t="shared" si="4"/>
        <v>336714.49128</v>
      </c>
      <c r="O27" s="323">
        <f t="shared" si="5"/>
        <v>0</v>
      </c>
      <c r="P27" s="323">
        <f t="shared" si="5"/>
        <v>0</v>
      </c>
      <c r="Q27" s="675">
        <f t="shared" si="0"/>
        <v>336714.49128</v>
      </c>
      <c r="R27" s="676">
        <f t="shared" si="1"/>
        <v>281216.50872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4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5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639325</v>
      </c>
      <c r="E42" s="339">
        <f>E19+E20+E21+E27+E40+E41</f>
        <v>92022</v>
      </c>
      <c r="F42" s="339">
        <f aca="true" t="shared" si="11" ref="F42:R42">F19+F20+F21+F27+F40+F41</f>
        <v>42268</v>
      </c>
      <c r="G42" s="339">
        <f t="shared" si="11"/>
        <v>689079</v>
      </c>
      <c r="H42" s="339">
        <f t="shared" si="11"/>
        <v>0</v>
      </c>
      <c r="I42" s="339">
        <f t="shared" si="11"/>
        <v>0</v>
      </c>
      <c r="J42" s="339">
        <f t="shared" si="11"/>
        <v>689079</v>
      </c>
      <c r="K42" s="339">
        <f t="shared" si="11"/>
        <v>338732.00062</v>
      </c>
      <c r="L42" s="339">
        <f t="shared" si="11"/>
        <v>50036.49128</v>
      </c>
      <c r="M42" s="339">
        <f t="shared" si="11"/>
        <v>1329</v>
      </c>
      <c r="N42" s="339">
        <f t="shared" si="11"/>
        <v>387439.4919</v>
      </c>
      <c r="O42" s="339">
        <f t="shared" si="11"/>
        <v>0</v>
      </c>
      <c r="P42" s="339">
        <f t="shared" si="11"/>
        <v>0</v>
      </c>
      <c r="Q42" s="339">
        <f t="shared" si="11"/>
        <v>387439.4919</v>
      </c>
      <c r="R42" s="340">
        <f t="shared" si="11"/>
        <v>301639.5081</v>
      </c>
    </row>
    <row r="43" spans="1:18" ht="15.75">
      <c r="A43" s="490"/>
      <c r="B43" s="490"/>
      <c r="C43" s="490"/>
      <c r="D43" s="491">
        <f>'[5]Справка 6'!$G$42-D42-6937-29</f>
        <v>0</v>
      </c>
      <c r="E43" s="491"/>
      <c r="F43" s="491"/>
      <c r="G43" s="492"/>
      <c r="H43" s="492"/>
      <c r="I43" s="492"/>
      <c r="J43" s="492"/>
      <c r="K43" s="492">
        <f>'[5]Справка 6'!$N$42-K42+7188+3066-3+0.53</f>
        <v>-2.7939650593111764E-11</v>
      </c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83">
        <f>pdeReportingDate</f>
        <v>44029</v>
      </c>
      <c r="D45" s="683"/>
      <c r="E45" s="683"/>
      <c r="F45" s="683"/>
      <c r="G45" s="683"/>
      <c r="H45" s="683"/>
      <c r="I45" s="683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18" ht="15.75">
      <c r="B46" s="660"/>
      <c r="C46" s="51"/>
      <c r="D46" s="680"/>
      <c r="E46" s="678"/>
      <c r="F46" s="678"/>
      <c r="G46" s="678"/>
      <c r="H46" s="678"/>
      <c r="I46" s="678"/>
      <c r="J46" s="679"/>
      <c r="K46" s="679"/>
      <c r="L46" s="679"/>
      <c r="M46" s="679"/>
      <c r="N46" s="679"/>
      <c r="O46" s="679"/>
      <c r="P46" s="679"/>
      <c r="Q46" s="679"/>
      <c r="R46" s="679"/>
    </row>
    <row r="47" spans="2:9" ht="15.75">
      <c r="B47" s="661" t="s">
        <v>8</v>
      </c>
      <c r="C47" s="684" t="str">
        <f>authorName</f>
        <v>Анелия Илиева Илиева</v>
      </c>
      <c r="D47" s="684"/>
      <c r="E47" s="684"/>
      <c r="F47" s="684"/>
      <c r="G47" s="684"/>
      <c r="H47" s="684"/>
      <c r="I47" s="684"/>
    </row>
    <row r="48" spans="2:18" ht="15.75">
      <c r="B48" s="661"/>
      <c r="C48" s="75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</row>
    <row r="49" spans="2:9" ht="15.75">
      <c r="B49" s="661" t="s">
        <v>894</v>
      </c>
      <c r="C49" s="685"/>
      <c r="D49" s="685"/>
      <c r="E49" s="685"/>
      <c r="F49" s="685"/>
      <c r="G49" s="685"/>
      <c r="H49" s="685"/>
      <c r="I49" s="685"/>
    </row>
    <row r="50" spans="2:18" ht="15.75">
      <c r="B50" s="662"/>
      <c r="C50" s="686" t="str">
        <f>Начална!B17</f>
        <v>Васил Борисов Тренев</v>
      </c>
      <c r="D50" s="710"/>
      <c r="E50" s="710"/>
      <c r="F50" s="710"/>
      <c r="G50" s="542"/>
      <c r="H50" s="44"/>
      <c r="I50" s="41"/>
      <c r="R50" s="38">
        <f>'[6]BS_KFN'!$C$4</f>
        <v>293963</v>
      </c>
    </row>
    <row r="51" spans="2:18" ht="15.75">
      <c r="B51" s="662"/>
      <c r="C51" s="681"/>
      <c r="D51" s="681"/>
      <c r="E51" s="681"/>
      <c r="F51" s="681"/>
      <c r="G51" s="542"/>
      <c r="H51" s="44"/>
      <c r="I51" s="41"/>
      <c r="R51" s="38">
        <f>R50-R27</f>
        <v>12746.491280000017</v>
      </c>
    </row>
    <row r="52" spans="2:9" ht="15.75">
      <c r="B52" s="662"/>
      <c r="C52" s="681" t="s">
        <v>952</v>
      </c>
      <c r="D52" s="681"/>
      <c r="E52" s="681"/>
      <c r="F52" s="681"/>
      <c r="G52" s="542"/>
      <c r="H52" s="44"/>
      <c r="I52" s="41"/>
    </row>
    <row r="53" spans="2:9" ht="15.75">
      <c r="B53" s="662"/>
      <c r="C53" s="681" t="s">
        <v>952</v>
      </c>
      <c r="D53" s="681"/>
      <c r="E53" s="681"/>
      <c r="F53" s="681"/>
      <c r="G53" s="542"/>
      <c r="H53" s="44"/>
      <c r="I53" s="41"/>
    </row>
    <row r="54" spans="2:9" ht="15.75">
      <c r="B54" s="662"/>
      <c r="C54" s="681"/>
      <c r="D54" s="681"/>
      <c r="E54" s="681"/>
      <c r="F54" s="681"/>
      <c r="G54" s="542"/>
      <c r="H54" s="44"/>
      <c r="I54" s="41"/>
    </row>
    <row r="55" spans="2:9" ht="15.75">
      <c r="B55" s="662"/>
      <c r="C55" s="681"/>
      <c r="D55" s="681"/>
      <c r="E55" s="681"/>
      <c r="F55" s="681"/>
      <c r="G55" s="542"/>
      <c r="H55" s="44"/>
      <c r="I55" s="41"/>
    </row>
    <row r="56" spans="2:9" ht="15.75">
      <c r="B56" s="662"/>
      <c r="C56" s="681"/>
      <c r="D56" s="681"/>
      <c r="E56" s="681"/>
      <c r="F56" s="681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3">
      <selection activeCell="C104" sqref="C104:E106"/>
    </sheetView>
  </sheetViews>
  <sheetFormatPr defaultColWidth="10.8515625" defaultRowHeight="15"/>
  <cols>
    <col min="1" max="1" width="52.8515625" style="38" customWidth="1"/>
    <col min="2" max="2" width="10.8515625" style="102" customWidth="1"/>
    <col min="3" max="3" width="17.8515625" style="38" customWidth="1"/>
    <col min="4" max="5" width="15.8515625" style="38" customWidth="1"/>
    <col min="6" max="6" width="16.8515625" style="38" customWidth="1"/>
    <col min="7" max="26" width="10.8515625" style="38" customWidth="1"/>
    <col min="27" max="16384" width="10.851562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5" t="s">
        <v>453</v>
      </c>
      <c r="B8" s="717" t="s">
        <v>11</v>
      </c>
      <c r="C8" s="713" t="s">
        <v>587</v>
      </c>
      <c r="D8" s="355" t="s">
        <v>588</v>
      </c>
      <c r="E8" s="356"/>
      <c r="F8" s="118"/>
    </row>
    <row r="9" spans="1:6" s="119" customFormat="1" ht="15.75">
      <c r="A9" s="716"/>
      <c r="B9" s="718"/>
      <c r="C9" s="714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176</v>
      </c>
      <c r="D18" s="352">
        <f>+D19+D20</f>
        <v>0</v>
      </c>
      <c r="E18" s="359">
        <f t="shared" si="0"/>
        <v>176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f>'1-Баланс'!C51</f>
        <v>176</v>
      </c>
      <c r="D20" s="358"/>
      <c r="E20" s="359">
        <f t="shared" si="0"/>
        <v>176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176</v>
      </c>
      <c r="D21" s="430">
        <f>D13+D17+D18</f>
        <v>0</v>
      </c>
      <c r="E21" s="431">
        <f>E13+E17+E18</f>
        <v>176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8907</v>
      </c>
      <c r="D23" s="433"/>
      <c r="E23" s="432">
        <f t="shared" si="0"/>
        <v>8907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85</v>
      </c>
      <c r="D26" s="352">
        <f>SUM(D27:D29)</f>
        <v>85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</f>
        <v>85</v>
      </c>
      <c r="D29" s="358">
        <f>C29</f>
        <v>85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38734</v>
      </c>
      <c r="D30" s="358">
        <f>C30</f>
        <v>38734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2</v>
      </c>
      <c r="D35" s="352">
        <f>SUM(D36:D39)</f>
        <v>2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f>'1-Баланс'!C73</f>
        <v>2</v>
      </c>
      <c r="D36" s="358">
        <f>C36</f>
        <v>2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>
        <f>C37</f>
        <v>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38821</v>
      </c>
      <c r="D45" s="428">
        <f>D26+D30+D31+D33+D32+D34+D35+D40</f>
        <v>38821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47904</v>
      </c>
      <c r="D46" s="434">
        <f>D45+D23+D21+D11</f>
        <v>38821</v>
      </c>
      <c r="E46" s="435">
        <f>E45+E23+E21+E11</f>
        <v>9083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5" t="s">
        <v>453</v>
      </c>
      <c r="B50" s="717" t="s">
        <v>11</v>
      </c>
      <c r="C50" s="719" t="s">
        <v>658</v>
      </c>
      <c r="D50" s="355" t="s">
        <v>659</v>
      </c>
      <c r="E50" s="355"/>
      <c r="F50" s="721" t="s">
        <v>660</v>
      </c>
    </row>
    <row r="51" spans="1:6" s="119" customFormat="1" ht="18" customHeight="1">
      <c r="A51" s="716"/>
      <c r="B51" s="718"/>
      <c r="C51" s="720"/>
      <c r="D51" s="121" t="s">
        <v>589</v>
      </c>
      <c r="E51" s="121" t="s">
        <v>590</v>
      </c>
      <c r="F51" s="722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44579</v>
      </c>
      <c r="D58" s="129">
        <f>D59+D61</f>
        <v>22215</v>
      </c>
      <c r="E58" s="127">
        <f t="shared" si="1"/>
        <v>22364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ROUND('[10]loans_short_long'!$G$43/1000,0)</f>
        <v>44579</v>
      </c>
      <c r="D59" s="188">
        <f>ROUND('[10]loans_short_long'!$G$39/1000,0)</f>
        <v>22215</v>
      </c>
      <c r="E59" s="127">
        <f t="shared" si="1"/>
        <v>22364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'[12]1-Баланс'!G49+'[10]BS_KPMG'!$W$37+'[10]BS_KPMG'!$W$45</f>
        <v>10096</v>
      </c>
      <c r="D66" s="188">
        <f>D67</f>
        <v>1324</v>
      </c>
      <c r="E66" s="127">
        <f t="shared" si="1"/>
        <v>8772</v>
      </c>
      <c r="F66" s="187"/>
    </row>
    <row r="67" spans="1:6" ht="15.75">
      <c r="A67" s="360" t="s">
        <v>684</v>
      </c>
      <c r="B67" s="126" t="s">
        <v>685</v>
      </c>
      <c r="C67" s="188">
        <f>'[10]BS_KPMG'!$W$37+'[10]BS_KPMG'!$W$45</f>
        <v>2093</v>
      </c>
      <c r="D67" s="188">
        <f>'[10]BS_KPMG'!$W$45</f>
        <v>1324</v>
      </c>
      <c r="E67" s="127">
        <f t="shared" si="1"/>
        <v>769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54675</v>
      </c>
      <c r="D68" s="425">
        <f>D54+D58+D63+D64+D65+D66</f>
        <v>23539</v>
      </c>
      <c r="E68" s="426">
        <f t="shared" si="1"/>
        <v>31136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3653</v>
      </c>
      <c r="D73" s="128">
        <f>SUM(D74:D76)</f>
        <v>3653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'1-Баланс'!G62</f>
        <v>3653</v>
      </c>
      <c r="D74" s="188">
        <f>C74</f>
        <v>3653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40744</v>
      </c>
      <c r="D87" s="125">
        <f>SUM(D88:D92)+D96</f>
        <v>40744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32134</v>
      </c>
      <c r="D89" s="188">
        <f>C89</f>
        <v>32134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5530</v>
      </c>
      <c r="D91" s="188">
        <f>C91</f>
        <v>5530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2129</v>
      </c>
      <c r="D92" s="129">
        <f>SUM(D93:D95)</f>
        <v>2129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f>ROUND('[10]BS_KPMG'!$W$48,0)</f>
        <v>450</v>
      </c>
      <c r="D93" s="188">
        <f>C93</f>
        <v>450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ROUND('[10]NoteBS'!$E$65,0)</f>
        <v>1263</v>
      </c>
      <c r="D94" s="188">
        <f>C94</f>
        <v>1263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ROUND('[10]NoteBS'!$E$66,0)</f>
        <v>416</v>
      </c>
      <c r="D95" s="188">
        <f>C95</f>
        <v>416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'[12]1-Баланс'!G67</f>
        <v>951</v>
      </c>
      <c r="D96" s="188">
        <f>C96</f>
        <v>951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'[12]1-Баланс'!G69</f>
        <v>6185</v>
      </c>
      <c r="D97" s="188">
        <f>C97</f>
        <v>6185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50582</v>
      </c>
      <c r="D98" s="423">
        <f>D87+D82+D77+D73+D97</f>
        <v>50582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105257</v>
      </c>
      <c r="D99" s="417">
        <f>D98+D70+D68</f>
        <v>74121</v>
      </c>
      <c r="E99" s="417">
        <f>E98+E70+E68</f>
        <v>31136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>
        <f>ROUND('[10]NoteBS'!$C$108+'[10]NoteBS'!$C$107,0)</f>
        <v>1835</v>
      </c>
      <c r="D104" s="207">
        <f>ROUND('[10]NoteBS'!$D$108,0)+1</f>
        <v>166</v>
      </c>
      <c r="E104" s="207">
        <f>ROUND(-'[10]NoteBS'!$E$108-'[10]NoteBS'!$F$108,0)</f>
        <v>518</v>
      </c>
      <c r="F104" s="411">
        <f>C104+D104-E104</f>
        <v>1483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>
        <f>ROUND('[10]NoteBS'!$D$109,0)+1</f>
        <v>1090</v>
      </c>
      <c r="E106" s="271">
        <f>ROUND(-'[1]FInst, loans'!$C$200,0)</f>
        <v>0</v>
      </c>
      <c r="F106" s="413">
        <f>C106+D106-E106</f>
        <v>1090</v>
      </c>
    </row>
    <row r="107" spans="1:6" ht="16.5" thickBot="1">
      <c r="A107" s="408" t="s">
        <v>752</v>
      </c>
      <c r="B107" s="414" t="s">
        <v>753</v>
      </c>
      <c r="C107" s="415">
        <f>SUM(C104:C106)</f>
        <v>1835</v>
      </c>
      <c r="D107" s="415">
        <f>SUM(D104:D106)</f>
        <v>1256</v>
      </c>
      <c r="E107" s="415">
        <f>SUM(E104:E106)</f>
        <v>518</v>
      </c>
      <c r="F107" s="416">
        <f>SUM(F104:F106)</f>
        <v>2573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2" t="s">
        <v>817</v>
      </c>
      <c r="B109" s="712"/>
      <c r="C109" s="712"/>
      <c r="D109" s="712"/>
      <c r="E109" s="712"/>
      <c r="F109" s="71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83">
        <f>pdeReportingDate</f>
        <v>44029</v>
      </c>
      <c r="C111" s="683"/>
      <c r="D111" s="683"/>
      <c r="E111" s="683"/>
      <c r="F111" s="683"/>
      <c r="G111" s="51"/>
      <c r="H111" s="51"/>
    </row>
    <row r="112" spans="1:8" ht="15.75">
      <c r="A112" s="660"/>
      <c r="B112" s="683"/>
      <c r="C112" s="683"/>
      <c r="D112" s="683"/>
      <c r="E112" s="683"/>
      <c r="F112" s="683"/>
      <c r="G112" s="51"/>
      <c r="H112" s="51"/>
    </row>
    <row r="113" spans="1:8" ht="15.75">
      <c r="A113" s="661" t="s">
        <v>8</v>
      </c>
      <c r="B113" s="684" t="str">
        <f>authorName</f>
        <v>Анелия Илиева Илиева</v>
      </c>
      <c r="C113" s="684"/>
      <c r="D113" s="684"/>
      <c r="E113" s="684"/>
      <c r="F113" s="684"/>
      <c r="G113" s="75"/>
      <c r="H113" s="75"/>
    </row>
    <row r="114" spans="1:8" ht="15.75">
      <c r="A114" s="661"/>
      <c r="B114" s="684"/>
      <c r="C114" s="684"/>
      <c r="D114" s="684"/>
      <c r="E114" s="684"/>
      <c r="F114" s="684"/>
      <c r="G114" s="75"/>
      <c r="H114" s="75"/>
    </row>
    <row r="115" spans="1:8" ht="15.75">
      <c r="A115" s="661" t="s">
        <v>894</v>
      </c>
      <c r="B115" s="685"/>
      <c r="C115" s="685"/>
      <c r="D115" s="685"/>
      <c r="E115" s="685"/>
      <c r="F115" s="685"/>
      <c r="G115" s="77"/>
      <c r="H115" s="77"/>
    </row>
    <row r="116" spans="1:8" ht="15.75" customHeight="1">
      <c r="A116" s="662"/>
      <c r="B116" s="686" t="str">
        <f>Начална!B17</f>
        <v>Васил Борисов Тренев</v>
      </c>
      <c r="C116" s="681"/>
      <c r="D116" s="681"/>
      <c r="E116" s="681"/>
      <c r="F116" s="681"/>
      <c r="G116" s="662"/>
      <c r="H116" s="662"/>
    </row>
    <row r="117" spans="1:8" ht="15.75" customHeight="1">
      <c r="A117" s="662"/>
      <c r="B117" s="681" t="s">
        <v>952</v>
      </c>
      <c r="C117" s="681"/>
      <c r="D117" s="681"/>
      <c r="E117" s="681"/>
      <c r="F117" s="681"/>
      <c r="G117" s="662"/>
      <c r="H117" s="662"/>
    </row>
    <row r="118" spans="1:8" ht="15.75" customHeight="1">
      <c r="A118" s="662"/>
      <c r="B118" s="711"/>
      <c r="C118" s="681"/>
      <c r="D118" s="681"/>
      <c r="E118" s="681"/>
      <c r="F118" s="681"/>
      <c r="G118" s="662"/>
      <c r="H118" s="662"/>
    </row>
    <row r="119" spans="1:8" ht="15.75" customHeight="1">
      <c r="A119" s="668"/>
      <c r="B119" s="711">
        <f>'1-Баланс'!G79+'1-Баланс'!G56</f>
        <v>107830</v>
      </c>
      <c r="C119" s="681"/>
      <c r="D119" s="681"/>
      <c r="E119" s="681"/>
      <c r="F119" s="681"/>
      <c r="G119" s="662"/>
      <c r="H119" s="662"/>
    </row>
    <row r="120" spans="1:8" ht="15.75">
      <c r="A120" s="668"/>
      <c r="B120" s="711">
        <f>F107+C99</f>
        <v>107830</v>
      </c>
      <c r="C120" s="681"/>
      <c r="D120" s="681"/>
      <c r="E120" s="681"/>
      <c r="F120" s="681"/>
      <c r="G120" s="662"/>
      <c r="H120" s="662"/>
    </row>
    <row r="121" spans="1:8" ht="15.75">
      <c r="A121" s="667"/>
      <c r="B121" s="711">
        <f>B119-B120</f>
        <v>0</v>
      </c>
      <c r="C121" s="681"/>
      <c r="D121" s="681"/>
      <c r="E121" s="681"/>
      <c r="F121" s="681"/>
      <c r="G121" s="662"/>
      <c r="H121" s="662"/>
    </row>
    <row r="122" spans="1:8" ht="15.75">
      <c r="A122" s="662"/>
      <c r="B122" s="681"/>
      <c r="C122" s="681"/>
      <c r="D122" s="681"/>
      <c r="E122" s="681"/>
      <c r="F122" s="681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7" sqref="B37:I37"/>
    </sheetView>
  </sheetViews>
  <sheetFormatPr defaultColWidth="10.8515625" defaultRowHeight="15"/>
  <cols>
    <col min="1" max="1" width="51.8515625" style="38" customWidth="1"/>
    <col min="2" max="2" width="10.8515625" style="102" customWidth="1"/>
    <col min="3" max="7" width="13.8515625" style="38" customWidth="1"/>
    <col min="8" max="9" width="14.8515625" style="38" customWidth="1"/>
    <col min="10" max="20" width="10.8515625" style="38" customWidth="1"/>
    <col min="21" max="21" width="13.421875" style="38" bestFit="1" customWidth="1"/>
    <col min="22" max="16384" width="10.851562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3" t="s">
        <v>453</v>
      </c>
      <c r="B8" s="728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24"/>
      <c r="B9" s="729"/>
      <c r="C9" s="726" t="s">
        <v>756</v>
      </c>
      <c r="D9" s="726" t="s">
        <v>757</v>
      </c>
      <c r="E9" s="726" t="s">
        <v>758</v>
      </c>
      <c r="F9" s="726" t="s">
        <v>759</v>
      </c>
      <c r="G9" s="104" t="s">
        <v>760</v>
      </c>
      <c r="H9" s="104"/>
      <c r="I9" s="727" t="s">
        <v>818</v>
      </c>
    </row>
    <row r="10" spans="1:9" s="103" customFormat="1" ht="24" customHeight="1">
      <c r="A10" s="724"/>
      <c r="B10" s="729"/>
      <c r="C10" s="726"/>
      <c r="D10" s="726"/>
      <c r="E10" s="726"/>
      <c r="F10" s="726"/>
      <c r="G10" s="106" t="s">
        <v>516</v>
      </c>
      <c r="H10" s="106" t="s">
        <v>517</v>
      </c>
      <c r="I10" s="727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5" t="s">
        <v>819</v>
      </c>
      <c r="B29" s="725"/>
      <c r="C29" s="725"/>
      <c r="D29" s="725"/>
      <c r="E29" s="725"/>
      <c r="F29" s="725"/>
      <c r="G29" s="725"/>
      <c r="H29" s="725"/>
      <c r="I29" s="725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83">
        <f>pdeReportingDate</f>
        <v>44029</v>
      </c>
      <c r="C31" s="683"/>
      <c r="D31" s="683"/>
      <c r="E31" s="683"/>
      <c r="F31" s="683"/>
      <c r="G31" s="115"/>
      <c r="H31" s="115"/>
      <c r="I31" s="115"/>
    </row>
    <row r="32" spans="1:9" s="107" customFormat="1" ht="15.75">
      <c r="A32" s="660"/>
      <c r="B32" s="683"/>
      <c r="C32" s="683"/>
      <c r="D32" s="683"/>
      <c r="E32" s="683"/>
      <c r="F32" s="683"/>
      <c r="G32" s="115"/>
      <c r="H32" s="115"/>
      <c r="I32" s="115"/>
    </row>
    <row r="33" spans="1:9" s="107" customFormat="1" ht="15.75">
      <c r="A33" s="661" t="s">
        <v>8</v>
      </c>
      <c r="B33" s="684" t="str">
        <f>authorName</f>
        <v>Анелия Илиева Илиева</v>
      </c>
      <c r="C33" s="684"/>
      <c r="D33" s="684"/>
      <c r="E33" s="684"/>
      <c r="F33" s="684"/>
      <c r="G33" s="115"/>
      <c r="H33" s="115"/>
      <c r="I33" s="115"/>
    </row>
    <row r="34" spans="1:9" s="107" customFormat="1" ht="15.75">
      <c r="A34" s="661"/>
      <c r="B34" s="730"/>
      <c r="C34" s="730"/>
      <c r="D34" s="730"/>
      <c r="E34" s="730"/>
      <c r="F34" s="730"/>
      <c r="G34" s="730"/>
      <c r="H34" s="730"/>
      <c r="I34" s="730"/>
    </row>
    <row r="35" spans="1:9" s="107" customFormat="1" ht="15.75">
      <c r="A35" s="661" t="s">
        <v>894</v>
      </c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 ht="15.75" customHeight="1">
      <c r="A36" s="662"/>
      <c r="B36" s="686" t="str">
        <f>Начална!B17</f>
        <v>Васил Борисов Тренев</v>
      </c>
      <c r="C36" s="681"/>
      <c r="D36" s="681"/>
      <c r="E36" s="681"/>
      <c r="F36" s="681"/>
      <c r="G36" s="681"/>
      <c r="H36" s="681"/>
      <c r="I36" s="681"/>
    </row>
    <row r="37" spans="1:9" s="107" customFormat="1" ht="15.75" customHeight="1">
      <c r="A37" s="662"/>
      <c r="B37" s="681" t="s">
        <v>952</v>
      </c>
      <c r="C37" s="681"/>
      <c r="D37" s="681"/>
      <c r="E37" s="681"/>
      <c r="F37" s="681"/>
      <c r="G37" s="681"/>
      <c r="H37" s="681"/>
      <c r="I37" s="681"/>
    </row>
    <row r="38" spans="1:9" s="107" customFormat="1" ht="15.75" customHeight="1">
      <c r="A38" s="662"/>
      <c r="B38" s="681" t="s">
        <v>952</v>
      </c>
      <c r="C38" s="681"/>
      <c r="D38" s="681"/>
      <c r="E38" s="681"/>
      <c r="F38" s="681"/>
      <c r="G38" s="681"/>
      <c r="H38" s="681"/>
      <c r="I38" s="681"/>
    </row>
    <row r="39" spans="1:9" s="107" customFormat="1" ht="15.75" customHeight="1">
      <c r="A39" s="662"/>
      <c r="B39" s="681" t="s">
        <v>952</v>
      </c>
      <c r="C39" s="681"/>
      <c r="D39" s="681"/>
      <c r="E39" s="681"/>
      <c r="F39" s="681"/>
      <c r="G39" s="681"/>
      <c r="H39" s="681"/>
      <c r="I39" s="681"/>
    </row>
    <row r="40" spans="1:9" s="107" customFormat="1" ht="15.75">
      <c r="A40" s="662"/>
      <c r="B40" s="681"/>
      <c r="C40" s="681"/>
      <c r="D40" s="681"/>
      <c r="E40" s="681"/>
      <c r="F40" s="681"/>
      <c r="G40" s="681"/>
      <c r="H40" s="681"/>
      <c r="I40" s="681"/>
    </row>
    <row r="41" spans="1:9" s="107" customFormat="1" ht="15.75">
      <c r="A41" s="662"/>
      <c r="B41" s="681"/>
      <c r="C41" s="681"/>
      <c r="D41" s="681"/>
      <c r="E41" s="681"/>
      <c r="F41" s="681"/>
      <c r="G41" s="681"/>
      <c r="H41" s="681"/>
      <c r="I41" s="681"/>
    </row>
    <row r="42" spans="1:9" s="107" customFormat="1" ht="15.75">
      <c r="A42" s="662"/>
      <c r="B42" s="681"/>
      <c r="C42" s="681"/>
      <c r="D42" s="681"/>
      <c r="E42" s="681"/>
      <c r="F42" s="681"/>
      <c r="G42" s="681"/>
      <c r="H42" s="681"/>
      <c r="I42" s="68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31.12.2019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402080.5081</v>
      </c>
      <c r="D6" s="643">
        <f aca="true" t="shared" si="0" ref="D6:D15">C6-E6</f>
        <v>-0.49190000002272427</v>
      </c>
      <c r="E6" s="642">
        <f>'1-Баланс'!G95</f>
        <v>402081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294251</v>
      </c>
      <c r="D7" s="643">
        <f t="shared" si="0"/>
        <v>285367</v>
      </c>
      <c r="E7" s="642">
        <f>'1-Баланс'!G18</f>
        <v>8884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36459</v>
      </c>
      <c r="D8" s="643">
        <f t="shared" si="0"/>
        <v>-0.4134499999927357</v>
      </c>
      <c r="E8" s="642">
        <f>ABS('2-Отчет за доходите'!C44)-ABS('2-Отчет за доходите'!G44)</f>
        <v>36459.41344999999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36015</v>
      </c>
      <c r="D9" s="643">
        <f t="shared" si="0"/>
        <v>0.28570000000763685</v>
      </c>
      <c r="E9" s="642">
        <f>'3-Отчет за паричния поток'!C45</f>
        <v>36014.71429999999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50193</v>
      </c>
      <c r="D10" s="643">
        <f t="shared" si="0"/>
        <v>0.28570000000763685</v>
      </c>
      <c r="E10" s="642">
        <f>'3-Отчет за паричния поток'!C46</f>
        <v>50192.71429999999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294251</v>
      </c>
      <c r="D11" s="643">
        <f t="shared" si="0"/>
        <v>0</v>
      </c>
      <c r="E11" s="642">
        <f>'4-Отчет за собствения капитал'!L34</f>
        <v>294251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2020-07-20T06:25:45Z</dcterms:modified>
  <cp:category/>
  <cp:version/>
  <cp:contentType/>
  <cp:contentStatus/>
</cp:coreProperties>
</file>