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<sst xmlns="http://schemas.openxmlformats.org/spreadsheetml/2006/main" count="1052" uniqueCount="870">
  <si>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</si>
  <si>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</si>
  <si>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</si>
  <si>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</si>
  <si>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</si>
  <si>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</si>
  <si>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</si>
  <si>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</si>
  <si>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</si>
  <si>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</si>
  <si>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</si>
  <si>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</si>
  <si>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</si>
  <si>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</si>
  <si>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</si>
  <si>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</si>
  <si>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</si>
  <si>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</si>
  <si>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</si>
  <si>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</si>
  <si>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</si>
  <si>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</si>
  <si>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</si>
  <si>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</si>
  <si>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</si>
  <si>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</si>
  <si>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</si>
  <si>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</si>
  <si>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</si>
  <si>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</si>
  <si>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</si>
  <si>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</si>
  <si>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</si>
  <si>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</si>
  <si>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</si>
  <si>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</si>
  <si>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</si>
  <si>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</si>
  <si>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</si>
  <si>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</si>
  <si>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</si>
  <si>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</si>
  <si>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</si>
  <si>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</si>
  <si>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</si>
  <si>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</si>
  <si>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</si>
  <si>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</si>
  <si>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</si>
  <si>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</si>
  <si>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</si>
  <si>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</si>
  <si>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</si>
  <si>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</si>
  <si>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</si>
  <si>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</si>
  <si>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</si>
  <si>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</si>
  <si>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</si>
  <si>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</si>
  <si>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</si>
  <si>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</si>
  <si>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</si>
  <si>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</si>
  <si>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</si>
  <si>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</si>
  <si>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</si>
  <si>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</si>
  <si>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</si>
  <si>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</si>
  <si>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</si>
  <si>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</si>
  <si>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</si>
  <si>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</si>
  <si>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</si>
  <si>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</si>
  <si>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</si>
  <si>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</si>
  <si>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</si>
  <si>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</si>
  <si>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</si>
  <si>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</si>
  <si>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</si>
  <si>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</si>
  <si>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</si>
  <si>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</si>
  <si>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</si>
  <si>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</si>
  <si>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</si>
  <si>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</si>
  <si>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</si>
  <si>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</si>
  <si>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</si>
  <si>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</si>
  <si>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</si>
  <si>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</si>
  <si>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</si>
  <si>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</si>
  <si>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</si>
  <si>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</si>
  <si>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</si>
  <si>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</si>
  <si>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</si>
  <si>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</si>
  <si>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</si>
  <si>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</si>
  <si>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</si>
  <si>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</si>
  <si>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</si>
  <si>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</si>
  <si>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</si>
  <si>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</si>
  <si>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</si>
  <si>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</si>
  <si>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</si>
  <si>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</si>
  <si>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</si>
  <si>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</si>
  <si>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</si>
  <si>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</si>
  <si>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</si>
  <si>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</si>
  <si>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</si>
  <si>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</si>
  <si>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</si>
  <si>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</si>
  <si>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</si>
  <si>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</si>
  <si>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</si>
  <si>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</si>
  <si>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</si>
  <si>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</si>
  <si>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</si>
  <si>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</si>
  <si>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</si>
  <si>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</si>
  <si>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</si>
  <si>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</si>
  <si>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</si>
  <si>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</si>
  <si>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</si>
  <si>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</si>
  <si>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</si>
  <si>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</si>
  <si>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</si>
  <si>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</si>
  <si>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</si>
  <si>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</si>
  <si>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</si>
  <si>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</si>
  <si>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</si>
  <si>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</si>
  <si>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</si>
  <si>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</si>
  <si>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</si>
  <si>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</si>
  <si>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</si>
  <si>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</si>
  <si>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</si>
  <si>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</si>
  <si>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</si>
  <si>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</si>
  <si>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</si>
  <si>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</si>
  <si>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</si>
  <si>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</si>
  <si>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</si>
  <si>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</si>
  <si>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</si>
  <si>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</si>
  <si>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</si>
  <si>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</si>
  <si>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</si>
  <si>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</si>
  <si>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</si>
  <si>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</si>
  <si>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</si>
  <si>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</si>
  <si>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</si>
  <si>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</si>
  <si>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</si>
  <si>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</si>
  <si>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</si>
  <si>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</si>
  <si>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</si>
  <si>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</si>
  <si>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</si>
  <si>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</si>
  <si>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</si>
  <si>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</si>
  <si>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</si>
  <si>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</si>
  <si>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</si>
  <si>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</si>
  <si>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</si>
  <si>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</si>
  <si>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</si>
  <si>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</si>
  <si>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</si>
  <si>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</si>
  <si>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</si>
  <si>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</si>
  <si>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</si>
  <si>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</si>
  <si>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</si>
  <si>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</si>
  <si>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</si>
  <si>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</si>
  <si>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</si>
  <si>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</si>
  <si>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</si>
  <si>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</si>
  <si>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</si>
  <si>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</si>
  <si>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</si>
  <si>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</si>
  <si>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</si>
  <si>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</si>
  <si>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</si>
  <si>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</si>
  <si>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</si>
  <si>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</si>
  <si>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</si>
  <si>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</si>
  <si>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</si>
  <si>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</si>
  <si>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</si>
  <si>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</si>
  <si>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</si>
  <si>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</si>
  <si>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</si>
  <si>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</si>
  <si>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</si>
  <si>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</si>
  <si>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</si>
  <si>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</si>
  <si>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</si>
  <si>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</si>
  <si>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</si>
  <si>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</si>
  <si>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</si>
  <si>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</si>
  <si>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</si>
  <si>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</si>
  <si>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</si>
  <si>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</si>
  <si>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</si>
  <si>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</si>
  <si>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</si>
  <si>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</si>
  <si>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</si>
  <si>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</si>
  <si>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</si>
  <si>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</si>
  <si>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</si>
  <si>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</si>
  <si>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</si>
  <si>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</si>
  <si>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</si>
  <si>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</si>
  <si>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</si>
  <si>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</si>
  <si>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</si>
  <si>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</si>
  <si>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</si>
  <si>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</si>
  <si>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</si>
  <si>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</si>
  <si>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</si>
  <si>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</si>
  <si>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</si>
  <si>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</si>
  <si>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</si>
  <si>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</si>
  <si>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</si>
  <si>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</si>
  <si>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</si>
  <si>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</si>
  <si>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</si>
  <si>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</si>
  <si>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</si>
  <si>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</si>
  <si>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</si>
  <si>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</si>
  <si>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</si>
  <si>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</si>
  <si>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</si>
  <si>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</si>
  <si>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</si>
  <si>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</si>
  <si>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</si>
  <si>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</si>
  <si>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</si>
  <si>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</si>
  <si>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</si>
  <si>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</si>
  <si>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</si>
  <si>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</si>
  <si>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</si>
  <si>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</si>
  <si>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</si>
  <si>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</si>
  <si>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</si>
  <si>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</si>
  <si>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</si>
  <si>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</si>
  <si>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</si>
  <si>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</si>
  <si>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</si>
  <si>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</si>
  <si>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</si>
  <si>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</si>
  <si>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</si>
  <si>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</si>
  <si>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</si>
  <si>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</si>
  <si>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</si>
  <si>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</si>
  <si>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</si>
  <si>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</si>
  <si>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</si>
  <si>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</si>
  <si>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</si>
  <si>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</si>
  <si>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</si>
  <si>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</si>
  <si>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</si>
  <si>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</si>
  <si>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</si>
  <si>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</si>
  <si>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</si>
  <si>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</si>
  <si>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</si>
  <si>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</si>
  <si>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</si>
  <si>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</si>
  <si>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</si>
  <si>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</si>
  <si>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</si>
  <si>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</si>
  <si>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</si>
  <si>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</si>
  <si>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</si>
  <si>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</si>
  <si>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</si>
  <si>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</si>
  <si>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</si>
  <si>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</si>
  <si>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</si>
  <si>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</si>
  <si>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</si>
  <si>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</si>
  <si>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</si>
  <si>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</si>
  <si>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</si>
  <si>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</si>
  <si>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</si>
  <si>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</si>
  <si>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</si>
  <si>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</si>
  <si>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</si>
  <si>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</si>
  <si>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</si>
  <si>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</si>
  <si>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</si>
  <si>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</si>
  <si>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</si>
  <si>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</si>
  <si>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</si>
  <si>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</si>
  <si>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</si>
  <si>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</si>
  <si>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</si>
  <si>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</si>
  <si>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</si>
  <si>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</si>
  <si>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</si>
  <si>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</si>
  <si>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</si>
  <si>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</si>
  <si>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</si>
  <si>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</si>
  <si>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</si>
  <si>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</si>
  <si>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</si>
  <si>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</si>
  <si>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</si>
  <si>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</si>
  <si>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</si>
  <si>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</si>
  <si>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</si>
  <si>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</si>
  <si>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</si>
  <si>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</si>
  <si>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</si>
  <si>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</si>
  <si>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</si>
  <si>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</si>
  <si>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</si>
  <si>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</si>
  <si>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</si>
  <si>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</si>
  <si>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</si>
  <si>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</si>
  <si>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</si>
  <si>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</si>
  <si>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</si>
  <si>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</si>
  <si>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</si>
  <si>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</si>
  <si>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</si>
  <si>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</si>
  <si>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</si>
  <si>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</si>
  <si>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</si>
  <si>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</si>
  <si>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</si>
  <si>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</si>
  <si>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</si>
  <si>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</si>
  <si>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</si>
  <si>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</si>
  <si>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</si>
  <si>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</si>
  <si>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</si>
  <si>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</si>
  <si>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</si>
  <si>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</si>
  <si>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</si>
  <si>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</si>
  <si>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</si>
  <si>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</si>
  <si>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</si>
  <si>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</si>
  <si>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</si>
  <si>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</si>
  <si>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</si>
  <si>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</si>
  <si>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</si>
  <si>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</si>
  <si>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</si>
  <si>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</si>
  <si>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</si>
  <si>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</si>
  <si>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</si>
  <si>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</si>
  <si>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</si>
  <si>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</si>
  <si>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</si>
  <si>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</si>
  <si>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</si>
  <si>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</si>
  <si>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</si>
  <si>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</si>
  <si>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</si>
  <si>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</si>
  <si>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</si>
  <si>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</si>
  <si>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</si>
  <si>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</si>
  <si>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</si>
  <si>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</si>
  <si>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</si>
  <si>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</si>
  <si>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</si>
  <si>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</si>
  <si>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</si>
  <si>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</si>
  <si>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</si>
  <si>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</si>
  <si>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</si>
  <si>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</si>
  <si>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</si>
  <si>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</si>
  <si>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</si>
  <si>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</si>
  <si>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</si>
  <si>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</si>
  <si>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</si>
  <si>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</si>
  <si>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</si>
  <si>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</si>
  <si>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</si>
  <si>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</si>
  <si>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</si>
  <si>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</si>
  <si>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</si>
  <si>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</si>
  <si>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</si>
  <si>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</si>
  <si>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</si>
  <si>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</si>
  <si>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</si>
  <si>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</si>
  <si>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</si>
  <si>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</si>
  <si>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</si>
  <si>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</si>
  <si>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</si>
  <si>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</si>
  <si>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</si>
  <si>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</si>
  <si>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</si>
  <si>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</si>
  <si>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</si>
  <si>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</si>
  <si>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</si>
  <si>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</si>
  <si>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</si>
  <si>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</si>
  <si>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</si>
  <si>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</si>
  <si>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</si>
  <si>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</si>
  <si>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</si>
  <si>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</si>
  <si>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</si>
  <si>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</si>
  <si>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</si>
  <si>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</si>
  <si>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</si>
  <si>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</si>
  <si>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</si>
  <si>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</si>
  <si>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</si>
  <si>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</si>
  <si>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</si>
  <si>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</si>
  <si>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</si>
  <si>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</si>
  <si>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</si>
  <si>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</si>
  <si>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</si>
  <si>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</si>
  <si>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</si>
  <si>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</si>
  <si>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</si>
  <si>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</si>
  <si>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</si>
  <si>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</si>
  <si>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</si>
  <si>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</si>
  <si>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</si>
  <si>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</si>
  <si>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</si>
  <si>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</si>
  <si>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</si>
  <si>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</si>
  <si>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</si>
  <si>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</si>
  <si>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</si>
  <si>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</si>
  <si>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</si>
  <si>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</si>
  <si>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</si>
  <si>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</si>
  <si>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</si>
  <si>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</si>
  <si>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</si>
  <si>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</si>
  <si>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</si>
  <si>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</si>
  <si>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</si>
  <si>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</si>
  <si>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</si>
  <si>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</si>
  <si>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</si>
  <si>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</si>
  <si>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</si>
  <si>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</si>
  <si>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</si>
  <si>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</si>
  <si>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</si>
  <si>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</si>
  <si>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</si>
  <si>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</si>
  <si>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</si>
  <si>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</si>
  <si>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</si>
  <si>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</si>
  <si>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</si>
  <si>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</si>
  <si>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</si>
  <si>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</si>
  <si>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</si>
  <si>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</si>
  <si>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</si>
  <si>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</si>
  <si>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</si>
  <si>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</si>
  <si>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</si>
  <si>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</si>
  <si>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</si>
  <si>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</si>
  <si>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</si>
  <si>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</si>
  <si>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</si>
  <si>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</si>
  <si>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</si>
  <si>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</si>
  <si>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</si>
  <si>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</si>
  <si>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</si>
  <si>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</si>
  <si>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</si>
  <si>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</si>
  <si>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</si>
  <si>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</si>
  <si>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</si>
  <si>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</si>
  <si>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</si>
  <si>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</si>
  <si>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</si>
  <si>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</si>
  <si>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</si>
  <si>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</si>
  <si>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</si>
  <si>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</si>
  <si>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</si>
  <si>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</si>
  <si>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</si>
  <si>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</si>
  <si>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</si>
  <si>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</si>
  <si>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</si>
  <si>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</si>
  <si>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</si>
  <si>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</si>
  <si>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</si>
  <si>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</si>
  <si>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</si>
  <si>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</si>
  <si>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</si>
  <si>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</si>
  <si>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</si>
  <si>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</si>
  <si>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</si>
  <si>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</si>
  <si>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</si>
  <si>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</si>
  <si>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</si>
  <si>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</si>
  <si>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</si>
  <si>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</si>
  <si>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</si>
  <si>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</si>
  <si>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</si>
  <si>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</si>
  <si>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</si>
  <si>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</si>
  <si>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</si>
  <si>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</si>
  <si>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</si>
  <si>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</si>
  <si>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</si>
  <si>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</si>
  <si>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</si>
  <si>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</si>
  <si>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</si>
  <si>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</si>
  <si>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</si>
  <si>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</si>
  <si>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</si>
  <si>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</si>
  <si>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</si>
  <si>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</si>
  <si>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</si>
  <si>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</si>
  <si>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</si>
  <si>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</si>
  <si>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</si>
  <si>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</si>
  <si>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</si>
  <si>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</si>
  <si>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</si>
  <si>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</si>
  <si>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</si>
  <si>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</si>
  <si>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</si>
  <si>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</si>
  <si>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</si>
  <si>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</si>
  <si>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</si>
  <si>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</si>
  <si>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</si>
  <si>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</si>
  <si>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</si>
  <si>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</si>
  <si>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</si>
  <si>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</si>
  <si>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</si>
  <si>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</si>
  <si>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</si>
  <si>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</si>
  <si>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</si>
  <si>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</si>
  <si>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</si>
  <si>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</si>
  <si>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</si>
  <si>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</si>
  <si>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</si>
  <si>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</si>
  <si>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</si>
  <si>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</si>
  <si>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</si>
  <si>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</si>
  <si>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</si>
  <si>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</si>
  <si>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</si>
  <si>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</si>
  <si>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</si>
  <si>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</si>
  <si>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</si>
  <si>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</si>
  <si>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</si>
  <si>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</si>
  <si>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</si>
  <si>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</si>
  <si>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</si>
  <si>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</si>
  <si>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</si>
  <si>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</si>
  <si>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</si>
  <si>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</si>
  <si>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</si>
  <si>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</si>
  <si>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</si>
  <si>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</si>
  <si>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</si>
  <si>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</si>
  <si>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</si>
  <si>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</si>
  <si>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</si>
  <si>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</si>
  <si>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</si>
  <si>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</si>
  <si>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</si>
  <si>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</si>
  <si>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</si>
  <si>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</si>
  <si>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</si>
  <si>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</si>
  <si>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</si>
  <si>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</si>
  <si>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</si>
  <si>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</si>
  <si>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</si>
  <si>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</si>
  <si>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</si>
  <si>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</si>
  <si>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</si>
  <si>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</si>
  <si>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</si>
  <si>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</si>
  <si>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</si>
  <si>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</si>
  <si>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</si>
  <si>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</si>
  <si>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</si>
  <si>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</si>
  <si>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</si>
  <si>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</si>
  <si>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</si>
  <si>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</si>
  <si>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</si>
  <si>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</si>
  <si>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</si>
  <si>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</si>
  <si>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</si>
  <si>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</si>
  <si>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</si>
  <si>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</si>
  <si>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</si>
  <si>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</si>
  <si>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</si>
  <si>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</si>
  <si>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</si>
  <si>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</si>
  <si>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</si>
  <si>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</si>
  <si>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</si>
  <si>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</si>
  <si>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</si>
  <si>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</si>
  <si>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</si>
  <si>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</si>
  <si>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</si>
  <si>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</si>
  <si>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</si>
  <si>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</si>
  <si>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</si>
  <si>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</si>
  <si>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</si>
  <si>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</si>
  <si>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</si>
  <si>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</si>
  <si>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</si>
  <si>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</si>
  <si>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</si>
  <si>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</si>
  <si>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</si>
  <si>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</si>
  <si>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</si>
  <si>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</si>
  <si>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</si>
  <si>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</si>
  <si>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</si>
  <si>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</si>
  <si>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</si>
  <si>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</si>
  <si>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</si>
  <si>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</si>
  <si>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</si>
  <si>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</si>
  <si>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</si>
  <si>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</si>
  <si>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</si>
  <si>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</si>
  <si>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</si>
  <si>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</si>
  <si>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</si>
  <si>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</si>
  <si>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</si>
  <si>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</si>
  <si>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</si>
  <si>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</si>
  <si>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</si>
  <si>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</si>
  <si>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</si>
  <si>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</si>
  <si>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</si>
  <si>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</si>
  <si>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</si>
  <si>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</si>
  <si>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</si>
  <si>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</si>
  <si>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</si>
  <si>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</si>
  <si>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</si>
  <si>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</si>
  <si>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</si>
  <si>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</si>
  <si>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</si>
  <si>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</si>
  <si>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</si>
  <si>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</si>
  <si>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</si>
  <si>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</si>
  <si>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</si>
  <si>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</si>
  <si>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</si>
  <si>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</si>
  <si>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</si>
  <si>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</si>
  <si>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</si>
  <si>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</si>
  <si>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</si>
  <si>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</si>
  <si>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</si>
  <si>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</si>
  <si>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</si>
  <si>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</si>
  <si>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</si>
  <si>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</si>
  <si>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</si>
  <si>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</si>
  <si>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</si>
  <si>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</si>
  <si>
    <t>Kонсолидиран</t>
  </si>
  <si>
    <t>28.11.2012 г.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</si>
</sst>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genkov\Desktop\My%20documents\TBI%20Credit\2012\Monthly%20reporting\September\Analysis%20S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601"/>
      <sheetName val="602"/>
      <sheetName val="604"/>
      <sheetName val="605"/>
      <sheetName val="609"/>
      <sheetName val="OPEX"/>
      <sheetName val="Module1"/>
      <sheetName val="09_TB"/>
      <sheetName val="09_TBS"/>
      <sheetName val="09_411&amp;416"/>
      <sheetName val="7212_09"/>
      <sheetName val="7214_09"/>
      <sheetName val="411"/>
      <sheetName val="7212"/>
      <sheetName val="08_TB"/>
      <sheetName val="08_TBS"/>
    </sheetNames>
    <sheetDataSet>
      <sheetData sheetId="10">
        <row r="70">
          <cell r="G70">
            <v>188144.57</v>
          </cell>
        </row>
        <row r="71">
          <cell r="E71">
            <v>4453683.14</v>
          </cell>
        </row>
        <row r="72">
          <cell r="G72">
            <v>339557.4</v>
          </cell>
        </row>
        <row r="73">
          <cell r="G73">
            <v>3008575.37</v>
          </cell>
        </row>
        <row r="74">
          <cell r="G74">
            <v>566085</v>
          </cell>
        </row>
        <row r="76">
          <cell r="G76">
            <v>3439663</v>
          </cell>
        </row>
        <row r="78">
          <cell r="G78">
            <v>621277.62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6" zoomScaleNormal="86" zoomScalePageLayoutView="0" workbookViewId="0" topLeftCell="A77">
      <selection activeCell="A102" sqref="A102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868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41182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f>+'справка №5'!R11</f>
        <v>5</v>
      </c>
      <c r="D13" s="145">
        <v>10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>
        <f>'справка №5'!R13</f>
        <v>1</v>
      </c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99</v>
      </c>
      <c r="D16" s="145">
        <v>130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105</v>
      </c>
      <c r="D19" s="149">
        <f>SUM(D11:D18)</f>
        <v>140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f>+'справка №5'!R21</f>
        <v>702</v>
      </c>
      <c r="D23" s="145">
        <v>692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175</v>
      </c>
      <c r="D24" s="145">
        <v>303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7</v>
      </c>
      <c r="D26" s="145">
        <v>15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884</v>
      </c>
      <c r="D27" s="149">
        <f>SUM(D23:D26)</f>
        <v>1010</v>
      </c>
      <c r="E27" s="247" t="s">
        <v>82</v>
      </c>
      <c r="F27" s="236" t="s">
        <v>83</v>
      </c>
      <c r="G27" s="148">
        <f>SUM(G28:G30)</f>
        <v>-11048</v>
      </c>
      <c r="H27" s="148">
        <f>SUM(H28:H30)</f>
        <v>-2191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-11048</v>
      </c>
      <c r="H29" s="310">
        <v>-2191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/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-5023</v>
      </c>
      <c r="H32" s="310">
        <v>-8857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-16071</v>
      </c>
      <c r="H33" s="148">
        <f>H27+H31+H32</f>
        <v>-11048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10470</v>
      </c>
      <c r="H36" s="148">
        <f>H25+H17+H33</f>
        <v>15493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12651</v>
      </c>
      <c r="H43" s="146">
        <v>14894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2363</v>
      </c>
      <c r="H44" s="146">
        <v>16871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/>
      <c r="H47" s="146">
        <v>36625</v>
      </c>
      <c r="M47" s="151"/>
    </row>
    <row r="48" spans="1:8" ht="15">
      <c r="A48" s="229" t="s">
        <v>146</v>
      </c>
      <c r="B48" s="238" t="s">
        <v>147</v>
      </c>
      <c r="C48" s="145">
        <v>3112</v>
      </c>
      <c r="D48" s="145">
        <v>6767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15014</v>
      </c>
      <c r="H49" s="148">
        <f>SUM(H43:H48)</f>
        <v>68390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3112</v>
      </c>
      <c r="D51" s="149">
        <f>SUM(D47:D50)</f>
        <v>6767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v>655</v>
      </c>
      <c r="D53" s="145">
        <v>1370</v>
      </c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305</v>
      </c>
      <c r="D54" s="145">
        <v>305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5061</v>
      </c>
      <c r="D55" s="149">
        <f>D19+D20+D21+D27+D32+D45+D51+D53+D54</f>
        <v>9592</v>
      </c>
      <c r="E55" s="231" t="s">
        <v>171</v>
      </c>
      <c r="F55" s="255" t="s">
        <v>172</v>
      </c>
      <c r="G55" s="148">
        <f>G49+G51+G52+G53+G54</f>
        <v>15014</v>
      </c>
      <c r="H55" s="148">
        <f>H49+H51+H52+H53+H54</f>
        <v>68390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11414</v>
      </c>
      <c r="H59" s="146">
        <v>26013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21487</v>
      </c>
      <c r="H60" s="146">
        <v>0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9564</v>
      </c>
      <c r="H61" s="148">
        <f>SUM(H62:H68)</f>
        <v>3733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818</v>
      </c>
      <c r="H62" s="146">
        <v>2002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511</v>
      </c>
      <c r="H64" s="146">
        <v>499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7967</v>
      </c>
      <c r="H65" s="146">
        <v>369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146</v>
      </c>
      <c r="H66" s="146">
        <v>562</v>
      </c>
    </row>
    <row r="67" spans="1:8" ht="15">
      <c r="A67" s="229" t="s">
        <v>206</v>
      </c>
      <c r="B67" s="235" t="s">
        <v>207</v>
      </c>
      <c r="C67" s="145">
        <v>3503</v>
      </c>
      <c r="D67" s="145">
        <v>3138</v>
      </c>
      <c r="E67" s="231" t="s">
        <v>208</v>
      </c>
      <c r="F67" s="236" t="s">
        <v>209</v>
      </c>
      <c r="G67" s="146">
        <v>72</v>
      </c>
      <c r="H67" s="146">
        <v>301</v>
      </c>
    </row>
    <row r="68" spans="1:8" ht="15">
      <c r="A68" s="229" t="s">
        <v>210</v>
      </c>
      <c r="B68" s="235" t="s">
        <v>211</v>
      </c>
      <c r="C68" s="145">
        <v>85</v>
      </c>
      <c r="D68" s="145">
        <v>146</v>
      </c>
      <c r="E68" s="231" t="s">
        <v>212</v>
      </c>
      <c r="F68" s="236" t="s">
        <v>213</v>
      </c>
      <c r="G68" s="146">
        <v>50</v>
      </c>
      <c r="H68" s="146">
        <v>0</v>
      </c>
    </row>
    <row r="69" spans="1:8" ht="15">
      <c r="A69" s="229" t="s">
        <v>214</v>
      </c>
      <c r="B69" s="235" t="s">
        <v>215</v>
      </c>
      <c r="C69" s="145">
        <v>1440</v>
      </c>
      <c r="D69" s="145">
        <v>1052</v>
      </c>
      <c r="E69" s="245" t="s">
        <v>77</v>
      </c>
      <c r="F69" s="236" t="s">
        <v>216</v>
      </c>
      <c r="G69" s="146">
        <v>1050</v>
      </c>
      <c r="H69" s="146">
        <v>2555</v>
      </c>
    </row>
    <row r="70" spans="1:8" ht="15">
      <c r="A70" s="229" t="s">
        <v>217</v>
      </c>
      <c r="B70" s="235" t="s">
        <v>218</v>
      </c>
      <c r="C70" s="145">
        <v>40259</v>
      </c>
      <c r="D70" s="145">
        <v>93668</v>
      </c>
      <c r="E70" s="231" t="s">
        <v>219</v>
      </c>
      <c r="F70" s="236" t="s">
        <v>220</v>
      </c>
      <c r="G70" s="146">
        <v>217</v>
      </c>
      <c r="H70" s="146">
        <v>217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43732</v>
      </c>
      <c r="H71" s="155">
        <f>H59+H60+H61+H69+H70</f>
        <v>32518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10</v>
      </c>
      <c r="D73" s="145">
        <v>11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6425</v>
      </c>
      <c r="D74" s="145">
        <v>5593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51722</v>
      </c>
      <c r="D75" s="149">
        <f>SUM(D67:D74)</f>
        <v>103608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43732</v>
      </c>
      <c r="H79" s="156">
        <f>H71+H74+H75+H76</f>
        <v>32518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772</v>
      </c>
      <c r="D87" s="145">
        <v>423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11661</v>
      </c>
      <c r="D88" s="145">
        <v>2141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12433</v>
      </c>
      <c r="D91" s="149">
        <f>SUM(D87:D90)</f>
        <v>2564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/>
      <c r="D92" s="145">
        <v>637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64155</v>
      </c>
      <c r="D93" s="149">
        <f>D64+D75+D84+D91+D92</f>
        <v>106809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69216</v>
      </c>
      <c r="D94" s="158">
        <f>D93+D55</f>
        <v>116401</v>
      </c>
      <c r="E94" s="442" t="s">
        <v>269</v>
      </c>
      <c r="F94" s="283" t="s">
        <v>270</v>
      </c>
      <c r="G94" s="159">
        <f>G36+G39+G55+G79</f>
        <v>69216</v>
      </c>
      <c r="H94" s="159">
        <f>H36+H39+H55+H79</f>
        <v>116401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 t="s">
        <v>869</v>
      </c>
      <c r="B98" s="426"/>
      <c r="C98" s="582" t="s">
        <v>272</v>
      </c>
      <c r="D98" s="582"/>
      <c r="E98" s="582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3:6" ht="12.75">
      <c r="C101" s="170"/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31">
      <selection activeCell="D18" sqref="D18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Kонсолидиран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41182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f>'[1]09_TBS'!$G$70/1000</f>
        <v>188.14457000000002</v>
      </c>
      <c r="D9" s="40">
        <v>402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f>'[1]09_TBS'!$E$71/1000</f>
        <v>4453.68314</v>
      </c>
      <c r="D10" s="40">
        <v>5328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f>'[1]09_TBS'!$G$72/1000</f>
        <v>339.55740000000003</v>
      </c>
      <c r="D11" s="40">
        <v>305</v>
      </c>
      <c r="E11" s="294" t="s">
        <v>292</v>
      </c>
      <c r="F11" s="537" t="s">
        <v>293</v>
      </c>
      <c r="G11" s="538">
        <v>6461</v>
      </c>
      <c r="H11" s="538">
        <v>10442</v>
      </c>
    </row>
    <row r="12" spans="1:8" ht="12">
      <c r="A12" s="292" t="s">
        <v>294</v>
      </c>
      <c r="B12" s="293" t="s">
        <v>295</v>
      </c>
      <c r="C12" s="40">
        <f>'[1]09_TBS'!$G$73/1000</f>
        <v>3008.57537</v>
      </c>
      <c r="D12" s="40">
        <v>5889</v>
      </c>
      <c r="E12" s="294" t="s">
        <v>77</v>
      </c>
      <c r="F12" s="537" t="s">
        <v>296</v>
      </c>
      <c r="G12" s="538"/>
      <c r="H12" s="538">
        <v>454</v>
      </c>
    </row>
    <row r="13" spans="1:18" ht="12">
      <c r="A13" s="292" t="s">
        <v>297</v>
      </c>
      <c r="B13" s="293" t="s">
        <v>298</v>
      </c>
      <c r="C13" s="40">
        <f>'[1]09_TBS'!$G$74/1000</f>
        <v>566.085</v>
      </c>
      <c r="D13" s="40">
        <v>1177</v>
      </c>
      <c r="E13" s="295" t="s">
        <v>50</v>
      </c>
      <c r="F13" s="539" t="s">
        <v>299</v>
      </c>
      <c r="G13" s="536">
        <f>SUM(G9:G12)</f>
        <v>6461</v>
      </c>
      <c r="H13" s="536">
        <f>SUM(H9:H12)</f>
        <v>10896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f>'[1]09_TBS'!$G$76/1000+'[1]09_TBS'!$G$78/1000</f>
        <v>4060.94062</v>
      </c>
      <c r="D16" s="41">
        <v>4813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f>'[1]09_TBS'!$G$76/1000</f>
        <v>3439.663</v>
      </c>
      <c r="D17" s="42">
        <v>3372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/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12616.9861</v>
      </c>
      <c r="D19" s="43">
        <f>SUM(D9:D15)+D16</f>
        <v>17914</v>
      </c>
      <c r="E19" s="298" t="s">
        <v>316</v>
      </c>
      <c r="F19" s="540" t="s">
        <v>317</v>
      </c>
      <c r="G19" s="538">
        <v>4777</v>
      </c>
      <c r="H19" s="538">
        <v>8894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4292</v>
      </c>
      <c r="D22" s="40">
        <v>5768</v>
      </c>
      <c r="E22" s="298" t="s">
        <v>325</v>
      </c>
      <c r="F22" s="540" t="s">
        <v>326</v>
      </c>
      <c r="G22" s="538">
        <v>7</v>
      </c>
      <c r="H22" s="538"/>
    </row>
    <row r="23" spans="1:8" ht="24">
      <c r="A23" s="292" t="s">
        <v>327</v>
      </c>
      <c r="B23" s="299" t="s">
        <v>328</v>
      </c>
      <c r="C23" s="40">
        <v>0</v>
      </c>
      <c r="D23" s="40"/>
      <c r="E23" s="292" t="s">
        <v>329</v>
      </c>
      <c r="F23" s="540" t="s">
        <v>330</v>
      </c>
      <c r="G23" s="538">
        <v>4238</v>
      </c>
      <c r="H23" s="538"/>
    </row>
    <row r="24" spans="1:18" ht="12">
      <c r="A24" s="292" t="s">
        <v>331</v>
      </c>
      <c r="B24" s="299" t="s">
        <v>332</v>
      </c>
      <c r="C24" s="40">
        <v>64</v>
      </c>
      <c r="D24" s="40">
        <v>8</v>
      </c>
      <c r="E24" s="295" t="s">
        <v>102</v>
      </c>
      <c r="F24" s="542" t="s">
        <v>333</v>
      </c>
      <c r="G24" s="536">
        <f>SUM(G19:G23)</f>
        <v>9022</v>
      </c>
      <c r="H24" s="536">
        <f>SUM(H19:H23)</f>
        <v>8894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3533</v>
      </c>
      <c r="D25" s="40">
        <v>694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7889</v>
      </c>
      <c r="D26" s="43">
        <f>SUM(D22:D25)</f>
        <v>6470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20505.986100000002</v>
      </c>
      <c r="D28" s="44">
        <f>D26+D19</f>
        <v>24384</v>
      </c>
      <c r="E28" s="121" t="s">
        <v>338</v>
      </c>
      <c r="F28" s="542" t="s">
        <v>339</v>
      </c>
      <c r="G28" s="536">
        <f>G13+G15+G24</f>
        <v>15483</v>
      </c>
      <c r="H28" s="536">
        <f>H13+H15+H24</f>
        <v>19790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0</v>
      </c>
      <c r="D30" s="44">
        <f>IF((H28-D28)&gt;0,H28-D28,0)</f>
        <v>0</v>
      </c>
      <c r="E30" s="121" t="s">
        <v>342</v>
      </c>
      <c r="F30" s="542" t="s">
        <v>343</v>
      </c>
      <c r="G30" s="47">
        <f>IF((C28-G28)&gt;0,C28-G28,0)</f>
        <v>5022.986100000002</v>
      </c>
      <c r="H30" s="47">
        <f>IF((D28-H28)&gt;0,D28-H28,0)</f>
        <v>4594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20505.986100000002</v>
      </c>
      <c r="D33" s="43">
        <f>D28+D31+D32</f>
        <v>24384</v>
      </c>
      <c r="E33" s="121" t="s">
        <v>352</v>
      </c>
      <c r="F33" s="542" t="s">
        <v>353</v>
      </c>
      <c r="G33" s="47">
        <f>G32+G31+G28</f>
        <v>15483</v>
      </c>
      <c r="H33" s="47">
        <f>H32+H31+H28</f>
        <v>19790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0</v>
      </c>
      <c r="D34" s="44">
        <f>IF((H33-D33)&gt;0,H33-D33,0)</f>
        <v>0</v>
      </c>
      <c r="E34" s="122" t="s">
        <v>356</v>
      </c>
      <c r="F34" s="542" t="s">
        <v>357</v>
      </c>
      <c r="G34" s="536">
        <f>IF((C33-G33)&gt;0,C33-G33,0)</f>
        <v>5022.986100000002</v>
      </c>
      <c r="H34" s="536">
        <f>IF((D33-H33)&gt;0,D33-H33,0)</f>
        <v>4594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/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0</v>
      </c>
      <c r="D39" s="450">
        <f>+IF((H33-D33-D35)&gt;0,H33-D33-D35,0)</f>
        <v>0</v>
      </c>
      <c r="E39" s="307" t="s">
        <v>368</v>
      </c>
      <c r="F39" s="546" t="s">
        <v>369</v>
      </c>
      <c r="G39" s="547">
        <f>IF(G34&gt;0,IF(C35+G34&lt;0,0,C35+G34),IF(C34-C35&lt;0,C35-C34,0))</f>
        <v>5022.986100000002</v>
      </c>
      <c r="H39" s="547">
        <f>IF(H34&gt;0,IF(D35+H34&lt;0,0,D35+H34),IF(D34-D35&lt;0,D35-D34,0))</f>
        <v>4594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0</v>
      </c>
      <c r="D41" s="46">
        <f>IF(H39=0,IF(D39-D40&gt;0,D39-D40+H40,0),IF(H39-H40&lt;0,H40-H39+D39,0))</f>
        <v>0</v>
      </c>
      <c r="E41" s="121" t="s">
        <v>375</v>
      </c>
      <c r="F41" s="559" t="s">
        <v>376</v>
      </c>
      <c r="G41" s="46">
        <f>IF(C39=0,IF(G39-G40&gt;0,G39-G40+C40,0),IF(C39-C40&lt;0,C40-C39+G40,0))</f>
        <v>5022.986100000002</v>
      </c>
      <c r="H41" s="46">
        <f>IF(D39=0,IF(H39-H40&gt;0,H39-H40+D40,0),IF(D39-D40&lt;0,D40-D39+H40,0))</f>
        <v>4594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20505.986100000002</v>
      </c>
      <c r="D42" s="47">
        <f>D33+D35+D39</f>
        <v>24384</v>
      </c>
      <c r="E42" s="122" t="s">
        <v>379</v>
      </c>
      <c r="F42" s="123" t="s">
        <v>380</v>
      </c>
      <c r="G42" s="47">
        <f>G39+G33</f>
        <v>20505.986100000002</v>
      </c>
      <c r="H42" s="47">
        <f>H39+H33</f>
        <v>24384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 t="str">
        <f>+'справка №1-БАЛАНС'!A98</f>
        <v>28.11.2012 г.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3" sqref="A3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Kонсолидиран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41182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55702</v>
      </c>
      <c r="D10" s="48">
        <v>711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-44835</v>
      </c>
      <c r="D11" s="48">
        <v>-746.86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15961</v>
      </c>
      <c r="D12" s="48">
        <v>6985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-3834</v>
      </c>
      <c r="D13" s="48">
        <v>-6500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-132</v>
      </c>
      <c r="D14" s="48">
        <v>161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9883</v>
      </c>
      <c r="D16" s="48">
        <v>16427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-709</v>
      </c>
      <c r="D17" s="48">
        <v>-698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-56</v>
      </c>
      <c r="D18" s="48">
        <v>-8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29593</v>
      </c>
      <c r="D19" s="48">
        <v>-7654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61573</v>
      </c>
      <c r="D20" s="49">
        <f>SUM(D10:D19)</f>
        <v>8677.14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-209</v>
      </c>
      <c r="D22" s="48">
        <v>-587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-209</v>
      </c>
      <c r="D32" s="49">
        <f>SUM(D22:D31)</f>
        <v>-587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>
        <v>-15647</v>
      </c>
      <c r="D35" s="48">
        <v>1955.83</v>
      </c>
      <c r="E35" s="124"/>
      <c r="F35" s="124"/>
    </row>
    <row r="36" spans="1:6" ht="12">
      <c r="A36" s="326" t="s">
        <v>435</v>
      </c>
      <c r="B36" s="327" t="s">
        <v>436</v>
      </c>
      <c r="C36" s="48">
        <v>5074</v>
      </c>
      <c r="D36" s="48">
        <v>10489</v>
      </c>
      <c r="E36" s="124"/>
      <c r="F36" s="124"/>
    </row>
    <row r="37" spans="1:6" ht="12">
      <c r="A37" s="326" t="s">
        <v>437</v>
      </c>
      <c r="B37" s="327" t="s">
        <v>438</v>
      </c>
      <c r="C37" s="48">
        <v>-37247</v>
      </c>
      <c r="D37" s="48">
        <v>-30651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>
        <v>-62</v>
      </c>
      <c r="E38" s="124"/>
      <c r="F38" s="124"/>
    </row>
    <row r="39" spans="1:6" ht="12">
      <c r="A39" s="326" t="s">
        <v>441</v>
      </c>
      <c r="B39" s="327" t="s">
        <v>442</v>
      </c>
      <c r="C39" s="48">
        <v>-3675</v>
      </c>
      <c r="D39" s="48">
        <v>-5385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>
        <v>-96</v>
      </c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-51495</v>
      </c>
      <c r="D42" s="49">
        <f>SUM(D34:D41)</f>
        <v>-23749.17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9869</v>
      </c>
      <c r="D43" s="49">
        <f>D42+D32+D20</f>
        <v>-15659.029999999999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2564</v>
      </c>
      <c r="D44" s="126">
        <v>18423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12433</v>
      </c>
      <c r="D45" s="49">
        <f>D44+D43</f>
        <v>2763.970000000001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12433</v>
      </c>
      <c r="D46" s="50">
        <f>+D45</f>
        <v>2763.970000000001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 t="str">
        <f>+'справка №1-БАЛАНС'!A98</f>
        <v>28.11.2012 г.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L11" sqref="L11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Kонсолидиран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41182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0</v>
      </c>
      <c r="J11" s="52">
        <f>'справка №1-БАЛАНС'!H29+'справка №1-БАЛАНС'!H32</f>
        <v>-11048</v>
      </c>
      <c r="K11" s="54"/>
      <c r="L11" s="338">
        <f>SUM(C11:K11)</f>
        <v>15493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-11048</v>
      </c>
      <c r="K15" s="55">
        <f t="shared" si="2"/>
        <v>0</v>
      </c>
      <c r="L15" s="338">
        <f t="shared" si="1"/>
        <v>15493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0</v>
      </c>
      <c r="J16" s="339">
        <f>+'справка №1-БАЛАНС'!G32</f>
        <v>-5023</v>
      </c>
      <c r="K16" s="54"/>
      <c r="L16" s="338">
        <f t="shared" si="1"/>
        <v>-5023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3">
        <f t="shared" si="6"/>
        <v>-16071</v>
      </c>
      <c r="K29" s="53">
        <f t="shared" si="6"/>
        <v>0</v>
      </c>
      <c r="L29" s="338">
        <f t="shared" si="1"/>
        <v>10470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0</v>
      </c>
      <c r="J32" s="53">
        <f t="shared" si="7"/>
        <v>-16071</v>
      </c>
      <c r="K32" s="53">
        <f t="shared" si="7"/>
        <v>0</v>
      </c>
      <c r="L32" s="338">
        <f t="shared" si="1"/>
        <v>10470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 t="str">
        <f>+'справка №2-ОТЧЕТ ЗА ДОХОДИТЕ'!B48</f>
        <v>28.11.2012 г.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28">
      <selection activeCell="G40" sqref="G4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5" t="s">
        <v>383</v>
      </c>
      <c r="B2" s="606"/>
      <c r="C2" s="607" t="str">
        <f>'справка №1-БАЛАНС'!E3</f>
        <v>Ти Би Ай Кредит ЕАД</v>
      </c>
      <c r="D2" s="607"/>
      <c r="E2" s="607"/>
      <c r="F2" s="607"/>
      <c r="G2" s="607"/>
      <c r="H2" s="607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5" t="s">
        <v>4</v>
      </c>
      <c r="B3" s="606"/>
      <c r="C3" s="608">
        <f>'справка №1-БАЛАНС'!E5</f>
        <v>41182</v>
      </c>
      <c r="D3" s="608"/>
      <c r="E3" s="608"/>
      <c r="F3" s="475"/>
      <c r="G3" s="475"/>
      <c r="H3" s="475"/>
      <c r="I3" s="475"/>
      <c r="J3" s="475"/>
      <c r="K3" s="475"/>
      <c r="L3" s="475"/>
      <c r="M3" s="609" t="s">
        <v>3</v>
      </c>
      <c r="N3" s="609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10" t="s">
        <v>463</v>
      </c>
      <c r="B5" s="611"/>
      <c r="C5" s="614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3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3" t="s">
        <v>529</v>
      </c>
      <c r="R5" s="603" t="s">
        <v>530</v>
      </c>
    </row>
    <row r="6" spans="1:18" s="94" customFormat="1" ht="48">
      <c r="A6" s="612"/>
      <c r="B6" s="613"/>
      <c r="C6" s="615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4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4"/>
      <c r="R6" s="604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>
        <v>0</v>
      </c>
      <c r="E9" s="183"/>
      <c r="F9" s="183"/>
      <c r="G9" s="68">
        <f>D9+E9-F9</f>
        <v>0</v>
      </c>
      <c r="H9" s="59"/>
      <c r="I9" s="59"/>
      <c r="J9" s="68">
        <f>G9+H9-I9</f>
        <v>0</v>
      </c>
      <c r="K9" s="59">
        <v>0</v>
      </c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>
        <v>0</v>
      </c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>
        <v>0</v>
      </c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500</v>
      </c>
      <c r="E11" s="183"/>
      <c r="F11" s="183"/>
      <c r="G11" s="68">
        <f t="shared" si="2"/>
        <v>500</v>
      </c>
      <c r="H11" s="59"/>
      <c r="I11" s="59"/>
      <c r="J11" s="68">
        <f t="shared" si="3"/>
        <v>500</v>
      </c>
      <c r="K11" s="59">
        <v>487</v>
      </c>
      <c r="L11" s="59">
        <v>8</v>
      </c>
      <c r="M11" s="59"/>
      <c r="N11" s="68">
        <f t="shared" si="4"/>
        <v>495</v>
      </c>
      <c r="O11" s="59"/>
      <c r="P11" s="59"/>
      <c r="Q11" s="68">
        <f t="shared" si="0"/>
        <v>495</v>
      </c>
      <c r="R11" s="68">
        <f t="shared" si="1"/>
        <v>5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>
        <v>0</v>
      </c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>
        <v>0</v>
      </c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162</v>
      </c>
      <c r="E13" s="183">
        <v>1</v>
      </c>
      <c r="F13" s="183">
        <v>11</v>
      </c>
      <c r="G13" s="68">
        <f t="shared" si="2"/>
        <v>152</v>
      </c>
      <c r="H13" s="59"/>
      <c r="I13" s="59"/>
      <c r="J13" s="68">
        <f t="shared" si="3"/>
        <v>152</v>
      </c>
      <c r="K13" s="59">
        <v>162</v>
      </c>
      <c r="L13" s="59"/>
      <c r="M13" s="59">
        <v>11</v>
      </c>
      <c r="N13" s="68">
        <f t="shared" si="4"/>
        <v>151</v>
      </c>
      <c r="O13" s="59"/>
      <c r="P13" s="59"/>
      <c r="Q13" s="68">
        <f t="shared" si="0"/>
        <v>151</v>
      </c>
      <c r="R13" s="68">
        <f t="shared" si="1"/>
        <v>1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389</v>
      </c>
      <c r="E14" s="183">
        <v>7</v>
      </c>
      <c r="F14" s="183"/>
      <c r="G14" s="68">
        <f t="shared" si="2"/>
        <v>396</v>
      </c>
      <c r="H14" s="59"/>
      <c r="I14" s="59"/>
      <c r="J14" s="68">
        <f t="shared" si="3"/>
        <v>396</v>
      </c>
      <c r="K14" s="59">
        <v>263</v>
      </c>
      <c r="L14" s="59">
        <v>34</v>
      </c>
      <c r="M14" s="59"/>
      <c r="N14" s="68">
        <f t="shared" si="4"/>
        <v>297</v>
      </c>
      <c r="O14" s="59"/>
      <c r="P14" s="59"/>
      <c r="Q14" s="68">
        <f t="shared" si="0"/>
        <v>297</v>
      </c>
      <c r="R14" s="68">
        <f t="shared" si="1"/>
        <v>99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1051</v>
      </c>
      <c r="E17" s="188">
        <f>SUM(E9:E16)</f>
        <v>8</v>
      </c>
      <c r="F17" s="188">
        <f>SUM(F9:F16)</f>
        <v>11</v>
      </c>
      <c r="G17" s="68">
        <f t="shared" si="2"/>
        <v>1048</v>
      </c>
      <c r="H17" s="69">
        <f>SUM(H9:H16)</f>
        <v>0</v>
      </c>
      <c r="I17" s="69">
        <f>SUM(I9:I16)</f>
        <v>0</v>
      </c>
      <c r="J17" s="68">
        <f t="shared" si="3"/>
        <v>1048</v>
      </c>
      <c r="K17" s="69">
        <f>SUM(K9:K16)</f>
        <v>912</v>
      </c>
      <c r="L17" s="69">
        <f>SUM(L9:L16)</f>
        <v>42</v>
      </c>
      <c r="M17" s="69">
        <f>SUM(M9:M16)</f>
        <v>11</v>
      </c>
      <c r="N17" s="68">
        <f t="shared" si="4"/>
        <v>943</v>
      </c>
      <c r="O17" s="69">
        <f>SUM(O9:O16)</f>
        <v>0</v>
      </c>
      <c r="P17" s="69">
        <f>SUM(P9:P16)</f>
        <v>0</v>
      </c>
      <c r="Q17" s="68">
        <f t="shared" si="5"/>
        <v>943</v>
      </c>
      <c r="R17" s="68">
        <f t="shared" si="6"/>
        <v>105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862</v>
      </c>
      <c r="E21" s="183">
        <v>109</v>
      </c>
      <c r="F21" s="183"/>
      <c r="G21" s="68">
        <f t="shared" si="2"/>
        <v>971</v>
      </c>
      <c r="H21" s="59"/>
      <c r="I21" s="59"/>
      <c r="J21" s="68">
        <f t="shared" si="3"/>
        <v>971</v>
      </c>
      <c r="K21" s="59">
        <v>169</v>
      </c>
      <c r="L21" s="59">
        <v>100</v>
      </c>
      <c r="M21" s="59"/>
      <c r="N21" s="68">
        <f t="shared" si="4"/>
        <v>269</v>
      </c>
      <c r="O21" s="59"/>
      <c r="P21" s="59"/>
      <c r="Q21" s="68">
        <f t="shared" si="5"/>
        <v>269</v>
      </c>
      <c r="R21" s="68">
        <f t="shared" si="6"/>
        <v>702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1459</v>
      </c>
      <c r="E22" s="183">
        <v>61</v>
      </c>
      <c r="F22" s="183"/>
      <c r="G22" s="68">
        <f t="shared" si="2"/>
        <v>1520</v>
      </c>
      <c r="H22" s="59"/>
      <c r="I22" s="59"/>
      <c r="J22" s="68">
        <f t="shared" si="3"/>
        <v>1520</v>
      </c>
      <c r="K22" s="59">
        <v>1155</v>
      </c>
      <c r="L22" s="59">
        <v>190</v>
      </c>
      <c r="M22" s="59"/>
      <c r="N22" s="68">
        <f t="shared" si="4"/>
        <v>1345</v>
      </c>
      <c r="O22" s="59"/>
      <c r="P22" s="59"/>
      <c r="Q22" s="68">
        <f t="shared" si="5"/>
        <v>1345</v>
      </c>
      <c r="R22" s="68">
        <f t="shared" si="6"/>
        <v>175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>
        <v>0</v>
      </c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>
        <v>0</v>
      </c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207</v>
      </c>
      <c r="E24" s="183"/>
      <c r="F24" s="183">
        <v>177</v>
      </c>
      <c r="G24" s="68">
        <f t="shared" si="2"/>
        <v>30</v>
      </c>
      <c r="H24" s="59"/>
      <c r="I24" s="59"/>
      <c r="J24" s="68">
        <f t="shared" si="3"/>
        <v>30</v>
      </c>
      <c r="K24" s="59">
        <v>193</v>
      </c>
      <c r="L24" s="59">
        <v>7</v>
      </c>
      <c r="M24" s="59">
        <v>177</v>
      </c>
      <c r="N24" s="68">
        <f t="shared" si="4"/>
        <v>23</v>
      </c>
      <c r="O24" s="59"/>
      <c r="P24" s="59"/>
      <c r="Q24" s="68">
        <f t="shared" si="5"/>
        <v>23</v>
      </c>
      <c r="R24" s="68">
        <f t="shared" si="6"/>
        <v>7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2528</v>
      </c>
      <c r="E25" s="184">
        <f aca="true" t="shared" si="7" ref="E25:P25">SUM(E21:E24)</f>
        <v>170</v>
      </c>
      <c r="F25" s="184">
        <f t="shared" si="7"/>
        <v>177</v>
      </c>
      <c r="G25" s="61">
        <f t="shared" si="2"/>
        <v>2521</v>
      </c>
      <c r="H25" s="60">
        <f t="shared" si="7"/>
        <v>0</v>
      </c>
      <c r="I25" s="60">
        <f t="shared" si="7"/>
        <v>0</v>
      </c>
      <c r="J25" s="61">
        <f t="shared" si="3"/>
        <v>2521</v>
      </c>
      <c r="K25" s="60">
        <f t="shared" si="7"/>
        <v>1517</v>
      </c>
      <c r="L25" s="60">
        <f t="shared" si="7"/>
        <v>297</v>
      </c>
      <c r="M25" s="60">
        <f t="shared" si="7"/>
        <v>177</v>
      </c>
      <c r="N25" s="61">
        <f t="shared" si="4"/>
        <v>1637</v>
      </c>
      <c r="O25" s="60">
        <f t="shared" si="7"/>
        <v>0</v>
      </c>
      <c r="P25" s="60">
        <f t="shared" si="7"/>
        <v>0</v>
      </c>
      <c r="Q25" s="61">
        <f t="shared" si="5"/>
        <v>1637</v>
      </c>
      <c r="R25" s="61">
        <f t="shared" si="6"/>
        <v>884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3579</v>
      </c>
      <c r="E40" s="431">
        <f>E17+E18+E19+E25+E38+E39</f>
        <v>178</v>
      </c>
      <c r="F40" s="431">
        <f aca="true" t="shared" si="13" ref="F40:R40">F17+F18+F19+F25+F38+F39</f>
        <v>188</v>
      </c>
      <c r="G40" s="431">
        <f t="shared" si="13"/>
        <v>3569</v>
      </c>
      <c r="H40" s="431">
        <f t="shared" si="13"/>
        <v>0</v>
      </c>
      <c r="I40" s="431">
        <f t="shared" si="13"/>
        <v>0</v>
      </c>
      <c r="J40" s="431">
        <f t="shared" si="13"/>
        <v>3569</v>
      </c>
      <c r="K40" s="431">
        <f t="shared" si="13"/>
        <v>2429</v>
      </c>
      <c r="L40" s="431">
        <f t="shared" si="13"/>
        <v>339</v>
      </c>
      <c r="M40" s="431">
        <f t="shared" si="13"/>
        <v>188</v>
      </c>
      <c r="N40" s="431">
        <f t="shared" si="13"/>
        <v>2580</v>
      </c>
      <c r="O40" s="431">
        <f t="shared" si="13"/>
        <v>0</v>
      </c>
      <c r="P40" s="431">
        <f t="shared" si="13"/>
        <v>0</v>
      </c>
      <c r="Q40" s="431">
        <f t="shared" si="13"/>
        <v>2580</v>
      </c>
      <c r="R40" s="431">
        <f t="shared" si="13"/>
        <v>989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 t="str">
        <f>+'справка №4-ОСК'!A38</f>
        <v>28.11.2012 г.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0"/>
      <c r="L44" s="600"/>
      <c r="M44" s="600"/>
      <c r="N44" s="600"/>
      <c r="O44" s="601" t="s">
        <v>781</v>
      </c>
      <c r="P44" s="602"/>
      <c r="Q44" s="602"/>
      <c r="R44" s="602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C5:C6"/>
    <mergeCell ref="J5:J6"/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1">
      <selection activeCell="D29" sqref="D29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41182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3112</v>
      </c>
      <c r="D15" s="102"/>
      <c r="E15" s="114">
        <f t="shared" si="0"/>
        <v>3112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3112</v>
      </c>
      <c r="D19" s="98">
        <f>D11+D15+D16</f>
        <v>0</v>
      </c>
      <c r="E19" s="112">
        <f>E11+E15+E16</f>
        <v>3112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305</v>
      </c>
      <c r="D21" s="102"/>
      <c r="E21" s="114">
        <f t="shared" si="0"/>
        <v>305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3503</v>
      </c>
      <c r="D24" s="113">
        <f>SUM(D25:D27)</f>
        <v>3503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3365</v>
      </c>
      <c r="D25" s="102">
        <f aca="true" t="shared" si="1" ref="D25:D30">C25</f>
        <v>3365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138</v>
      </c>
      <c r="D26" s="102">
        <f t="shared" si="1"/>
        <v>138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85</v>
      </c>
      <c r="D28" s="102">
        <f t="shared" si="1"/>
        <v>85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1440</v>
      </c>
      <c r="D29" s="102">
        <f t="shared" si="1"/>
        <v>1440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40259</v>
      </c>
      <c r="D30" s="102">
        <f t="shared" si="1"/>
        <v>40259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6435</v>
      </c>
      <c r="D38" s="99">
        <f>SUM(D39:D42)</f>
        <v>6435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6435</v>
      </c>
      <c r="D42" s="102">
        <f>C42</f>
        <v>6435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51722</v>
      </c>
      <c r="D43" s="98">
        <f>D24+D28+D29+D31+D30+D32+D33+D38</f>
        <v>51722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55139</v>
      </c>
      <c r="D44" s="97">
        <f>D43+D21+D19+D9</f>
        <v>51722</v>
      </c>
      <c r="E44" s="112">
        <f>E43+E21+E19+E9</f>
        <v>3417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12651</v>
      </c>
      <c r="D52" s="97">
        <f>SUM(D53:D55)</f>
        <v>0</v>
      </c>
      <c r="E52" s="113">
        <f>C52-D52</f>
        <v>12651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12651</v>
      </c>
      <c r="D53" s="102">
        <v>0</v>
      </c>
      <c r="E53" s="113">
        <f>C53-D53</f>
        <v>12651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2363</v>
      </c>
      <c r="D56" s="97">
        <f>D57+D59</f>
        <v>0</v>
      </c>
      <c r="E56" s="113">
        <f t="shared" si="2"/>
        <v>2363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2363</v>
      </c>
      <c r="D57" s="102">
        <v>0</v>
      </c>
      <c r="E57" s="113">
        <f t="shared" si="2"/>
        <v>2363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0</v>
      </c>
      <c r="D63" s="102"/>
      <c r="E63" s="113">
        <f t="shared" si="2"/>
        <v>0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15014</v>
      </c>
      <c r="D66" s="97">
        <f>D52+D56+D61+D62+D63+D64</f>
        <v>0</v>
      </c>
      <c r="E66" s="113">
        <f t="shared" si="2"/>
        <v>15014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818</v>
      </c>
      <c r="D71" s="99">
        <f>SUM(D72:D74)</f>
        <v>818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389</v>
      </c>
      <c r="D72" s="102">
        <f>C72</f>
        <v>389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429</v>
      </c>
      <c r="D74" s="102">
        <f>C74</f>
        <v>429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11414</v>
      </c>
      <c r="D75" s="97">
        <f>D76+D78</f>
        <v>11414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11414</v>
      </c>
      <c r="D76" s="102">
        <f>C76</f>
        <v>11414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21487</v>
      </c>
      <c r="D80" s="97">
        <f>SUM(D81:D84)</f>
        <v>21487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21487</v>
      </c>
      <c r="D82" s="102">
        <f>C82</f>
        <v>21487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8746</v>
      </c>
      <c r="D85" s="98">
        <f>SUM(D86:D90)+D94</f>
        <v>8746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511</v>
      </c>
      <c r="D87" s="102">
        <f>C87</f>
        <v>511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7967</v>
      </c>
      <c r="D88" s="102">
        <f>C88</f>
        <v>7967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146</v>
      </c>
      <c r="D89" s="102">
        <f>C89</f>
        <v>146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50</v>
      </c>
      <c r="D90" s="97">
        <f>SUM(D91:D93)</f>
        <v>50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>
        <v>0</v>
      </c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>
        <v>16</v>
      </c>
      <c r="D92" s="102">
        <f>C92</f>
        <v>16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v>34</v>
      </c>
      <c r="D93" s="102">
        <f>C93</f>
        <v>34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72</v>
      </c>
      <c r="D94" s="102">
        <f>C94</f>
        <v>72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1050</v>
      </c>
      <c r="D95" s="102">
        <f>C95</f>
        <v>1050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43515</v>
      </c>
      <c r="D96" s="98">
        <f>D85+D80+D75+D71+D95</f>
        <v>43515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58529</v>
      </c>
      <c r="D97" s="98">
        <f>D96+D68+D66</f>
        <v>43515</v>
      </c>
      <c r="E97" s="98">
        <f>E96+E68+E66</f>
        <v>15014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217</v>
      </c>
      <c r="D104" s="102"/>
      <c r="E104" s="102">
        <v>0</v>
      </c>
      <c r="F104" s="119">
        <f>C104+D104-E104</f>
        <v>217</v>
      </c>
    </row>
    <row r="105" spans="1:16" ht="12">
      <c r="A105" s="406" t="s">
        <v>777</v>
      </c>
      <c r="B105" s="389" t="s">
        <v>778</v>
      </c>
      <c r="C105" s="97">
        <f>SUM(C102:C104)</f>
        <v>217</v>
      </c>
      <c r="D105" s="97">
        <f>SUM(D102:D104)</f>
        <v>0</v>
      </c>
      <c r="E105" s="97">
        <f>SUM(E102:E104)</f>
        <v>0</v>
      </c>
      <c r="F105" s="97">
        <f>SUM(F102:F104)</f>
        <v>217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 t="str">
        <f>+'справка №5'!B44</f>
        <v>28.11.2012 г.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41182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 t="str">
        <f>+'справка №6'!A109:B109</f>
        <v>28.11.2012 г.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42">
      <selection activeCell="A13" sqref="A13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866</v>
      </c>
      <c r="B4" s="633">
        <f>'справка №1-БАЛАНС'!E5</f>
        <v>41182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867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 t="str">
        <f>+'справка №7'!A30</f>
        <v>28.11.2012 г.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igenkov</cp:lastModifiedBy>
  <cp:lastPrinted>2012-11-20T10:57:29Z</cp:lastPrinted>
  <dcterms:created xsi:type="dcterms:W3CDTF">2000-06-29T12:02:40Z</dcterms:created>
  <dcterms:modified xsi:type="dcterms:W3CDTF">2012-11-28T07:06:23Z</dcterms:modified>
  <cp:category/>
  <cp:version/>
  <cp:contentType/>
  <cp:contentStatus/>
</cp:coreProperties>
</file>