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<sst xmlns="http://schemas.openxmlformats.org/spreadsheetml/2006/main" count="1067" uniqueCount="892">
  <si>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</si>
  <si>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</si>
  <si>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</si>
  <si>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</si>
  <si>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</si>
  <si>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</si>
  <si>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</si>
  <si>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</si>
  <si>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</si>
  <si>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</si>
  <si>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</si>
  <si>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</si>
  <si>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</si>
  <si>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</si>
  <si>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</si>
  <si>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</si>
  <si>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</si>
  <si>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</si>
  <si>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</si>
  <si>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</si>
  <si>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</si>
  <si>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</si>
  <si>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</si>
  <si>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</si>
  <si>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</si>
  <si>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</si>
  <si>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</si>
  <si>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</si>
  <si>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</si>
  <si>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</si>
  <si>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</si>
  <si>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</si>
  <si>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</si>
  <si>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</si>
  <si>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</si>
  <si>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</si>
  <si>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</si>
  <si>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</si>
  <si>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</si>
  <si>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</si>
  <si>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</si>
  <si>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</si>
  <si>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</si>
  <si>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</si>
  <si>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</si>
  <si>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</si>
  <si>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</si>
  <si>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</si>
  <si>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</si>
  <si>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</si>
  <si>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</si>
  <si>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</si>
  <si>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</si>
  <si>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</si>
  <si>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</si>
  <si>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</si>
  <si>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</si>
  <si>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</si>
  <si>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</si>
  <si>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</si>
  <si>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</si>
  <si>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</si>
  <si>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</si>
  <si>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</si>
  <si>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</si>
  <si>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</si>
  <si>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</si>
  <si>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</si>
  <si>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</si>
  <si>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</si>
  <si>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</si>
  <si>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</si>
  <si>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</si>
  <si>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</si>
  <si>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</si>
  <si>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</si>
  <si>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</si>
  <si>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</si>
  <si>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</si>
  <si>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</si>
  <si>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</si>
  <si>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</si>
  <si>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</si>
  <si>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</si>
  <si>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</si>
  <si>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</si>
  <si>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</si>
  <si>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</si>
  <si>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</si>
  <si>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</si>
  <si>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</si>
  <si>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</si>
  <si>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</si>
  <si>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</si>
  <si>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</si>
  <si>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</si>
  <si>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</si>
  <si>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</si>
  <si>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</si>
  <si>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</si>
  <si>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</si>
  <si>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</si>
  <si>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</si>
  <si>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</si>
  <si>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</si>
  <si>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</si>
  <si>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</si>
  <si>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</si>
  <si>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</si>
  <si>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</si>
  <si>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</si>
  <si>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</si>
  <si>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</si>
  <si>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</si>
  <si>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</si>
  <si>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</si>
  <si>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</si>
  <si>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</si>
  <si>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</si>
  <si>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</si>
  <si>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</si>
  <si>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</si>
  <si>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</si>
  <si>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</si>
  <si>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</si>
  <si>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</si>
  <si>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</si>
  <si>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</si>
  <si>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</si>
  <si>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</si>
  <si>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</si>
  <si>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</si>
  <si>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</si>
  <si>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</si>
  <si>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</si>
  <si>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</si>
  <si>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</si>
  <si>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</si>
  <si>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</si>
  <si>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</si>
  <si>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</si>
  <si>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</si>
  <si>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</si>
  <si>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</si>
  <si>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</si>
  <si>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</si>
  <si>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</si>
  <si>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</si>
  <si>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</si>
  <si>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</si>
  <si>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</si>
  <si>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</si>
  <si>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</si>
  <si>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</si>
  <si>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</si>
  <si>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</si>
  <si>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</si>
  <si>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</si>
  <si>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</si>
  <si>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</si>
  <si>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</si>
  <si>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</si>
  <si>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</si>
  <si>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</si>
  <si>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</si>
  <si>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</si>
  <si>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</si>
  <si>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</si>
  <si>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</si>
  <si>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</si>
  <si>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</si>
  <si>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</si>
  <si>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</si>
  <si>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</si>
  <si>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</si>
  <si>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</si>
  <si>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</si>
  <si>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</si>
  <si>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</si>
  <si>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</si>
  <si>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</si>
  <si>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</si>
  <si>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</si>
  <si>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</si>
  <si>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</si>
  <si>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</si>
  <si>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</si>
  <si>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</si>
  <si>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</si>
  <si>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</si>
  <si>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</si>
  <si>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</si>
  <si>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</si>
  <si>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</si>
  <si>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</si>
  <si>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</si>
  <si>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</si>
  <si>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</si>
  <si>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</si>
  <si>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</si>
  <si>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</si>
  <si>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</si>
  <si>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</si>
  <si>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</si>
  <si>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</si>
  <si>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</si>
  <si>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</si>
  <si>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</si>
  <si>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</si>
  <si>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</si>
  <si>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</si>
  <si>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</si>
  <si>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</si>
  <si>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</si>
  <si>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</si>
  <si>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</si>
  <si>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</si>
  <si>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</si>
  <si>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</si>
  <si>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</si>
  <si>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</si>
  <si>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</si>
  <si>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</si>
  <si>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</si>
  <si>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</si>
  <si>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</si>
  <si>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</si>
  <si>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</si>
  <si>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</si>
  <si>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</si>
  <si>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</si>
  <si>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</si>
  <si>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</si>
  <si>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</si>
  <si>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</si>
  <si>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</si>
  <si>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</si>
  <si>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</si>
  <si>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</si>
  <si>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</si>
  <si>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</si>
  <si>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</si>
  <si>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</si>
  <si>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</si>
  <si>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</si>
  <si>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</si>
  <si>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</si>
  <si>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</si>
  <si>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</si>
  <si>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</si>
  <si>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</si>
  <si>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</si>
  <si>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</si>
  <si>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</si>
  <si>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</si>
  <si>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</si>
  <si>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</si>
  <si>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</si>
  <si>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</si>
  <si>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</si>
  <si>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</si>
  <si>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</si>
  <si>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</si>
  <si>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</si>
  <si>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</si>
  <si>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</si>
  <si>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</si>
  <si>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</si>
  <si>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</si>
  <si>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</si>
  <si>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</si>
  <si>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</si>
  <si>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</si>
  <si>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</si>
  <si>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</si>
  <si>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</si>
  <si>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</si>
  <si>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</si>
  <si>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</si>
  <si>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</si>
  <si>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</si>
  <si>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</si>
  <si>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</si>
  <si>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</si>
  <si>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</si>
  <si>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</si>
  <si>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</si>
  <si>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</si>
  <si>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</si>
  <si>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</si>
  <si>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</si>
  <si>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</si>
  <si>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</si>
  <si>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</si>
  <si>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</si>
  <si>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</si>
  <si>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</si>
  <si>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</si>
  <si>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</si>
  <si>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</si>
  <si>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</si>
  <si>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</si>
  <si>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</si>
  <si>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</si>
  <si>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</si>
  <si>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</si>
  <si>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</si>
  <si>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</si>
  <si>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</si>
  <si>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</si>
  <si>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</si>
  <si>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</si>
  <si>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</si>
  <si>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</si>
  <si>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</si>
  <si>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</si>
  <si>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</si>
  <si>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</si>
  <si>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</si>
  <si>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</si>
  <si>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</si>
  <si>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</si>
  <si>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</si>
  <si>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</si>
  <si>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</si>
  <si>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</si>
  <si>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</si>
  <si>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</si>
  <si>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</si>
  <si>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</si>
  <si>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</si>
  <si>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</si>
  <si>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</si>
  <si>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</si>
  <si>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</si>
  <si>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</si>
  <si>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</si>
  <si>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</si>
  <si>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</si>
  <si>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</si>
  <si>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</si>
  <si>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</si>
  <si>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</si>
  <si>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</si>
  <si>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</si>
  <si>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</si>
  <si>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</si>
  <si>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</si>
  <si>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</si>
  <si>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</si>
  <si>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</si>
  <si>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</si>
  <si>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</si>
  <si>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</si>
  <si>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</si>
  <si>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</si>
  <si>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</si>
  <si>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</si>
  <si>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</si>
  <si>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</si>
  <si>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</si>
  <si>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</si>
  <si>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</si>
  <si>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</si>
  <si>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</si>
  <si>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</si>
  <si>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</si>
  <si>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</si>
  <si>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</si>
  <si>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</si>
  <si>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</si>
  <si>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</si>
  <si>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</si>
  <si>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</si>
  <si>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</si>
  <si>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</si>
  <si>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</si>
  <si>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</si>
  <si>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</si>
  <si>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</si>
  <si>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</si>
  <si>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</si>
  <si>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</si>
  <si>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</si>
  <si>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</si>
  <si>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</si>
  <si>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</si>
  <si>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</si>
  <si>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</si>
  <si>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</si>
  <si>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</si>
  <si>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</si>
  <si>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</si>
  <si>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</si>
  <si>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</si>
  <si>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</si>
  <si>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</si>
  <si>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</si>
  <si>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</si>
  <si>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</si>
  <si>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</si>
  <si>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</si>
  <si>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</si>
  <si>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</si>
  <si>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</si>
  <si>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</si>
  <si>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</si>
  <si>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</si>
  <si>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</si>
  <si>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</si>
  <si>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</si>
  <si>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</si>
  <si>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</si>
  <si>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</si>
  <si>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</si>
  <si>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</si>
  <si>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</si>
  <si>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</si>
  <si>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</si>
  <si>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</si>
  <si>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</si>
  <si>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</si>
  <si>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</si>
  <si>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</si>
  <si>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</si>
  <si>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</si>
  <si>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</si>
  <si>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</si>
  <si>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</si>
  <si>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</si>
  <si>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</si>
  <si>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</si>
  <si>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</si>
  <si>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</si>
  <si>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</si>
  <si>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</si>
  <si>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</si>
  <si>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</si>
  <si>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</si>
  <si>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</si>
  <si>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</si>
  <si>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</si>
  <si>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</si>
  <si>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</si>
  <si>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</si>
  <si>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</si>
  <si>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</si>
  <si>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</si>
  <si>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</si>
  <si>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</si>
  <si>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</si>
  <si>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</si>
  <si>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</si>
  <si>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</si>
  <si>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</si>
  <si>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</si>
  <si>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</si>
  <si>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</si>
  <si>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</si>
  <si>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</si>
  <si>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</si>
  <si>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</si>
  <si>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</si>
  <si>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</si>
  <si>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</si>
  <si>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</si>
  <si>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</si>
  <si>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</si>
  <si>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</si>
  <si>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</si>
  <si>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</si>
  <si>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</si>
  <si>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</si>
  <si>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</si>
  <si>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</si>
  <si>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</si>
  <si>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</si>
  <si>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</si>
  <si>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</si>
  <si>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</si>
  <si>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</si>
  <si>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</si>
  <si>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</si>
  <si>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</si>
  <si>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</si>
  <si>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</si>
  <si>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</si>
  <si>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</si>
  <si>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</si>
  <si>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</si>
  <si>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</si>
  <si>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</si>
  <si>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</si>
  <si>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</si>
  <si>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</si>
  <si>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</si>
  <si>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</si>
  <si>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</si>
  <si>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</si>
  <si>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</si>
  <si>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</si>
  <si>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</si>
  <si>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</si>
  <si>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</si>
  <si>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</si>
  <si>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</si>
  <si>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</si>
  <si>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</si>
  <si>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</si>
  <si>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</si>
  <si>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</si>
  <si>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</si>
  <si>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</si>
  <si>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</si>
  <si>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</si>
  <si>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</si>
  <si>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</si>
  <si>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</si>
  <si>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</si>
  <si>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</si>
  <si>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</si>
  <si>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</si>
  <si>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</si>
  <si>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</si>
  <si>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</si>
  <si>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</si>
  <si>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</si>
  <si>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</si>
  <si>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</si>
  <si>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</si>
  <si>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</si>
  <si>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</si>
  <si>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</si>
  <si>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</si>
  <si>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</si>
  <si>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</si>
  <si>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</si>
  <si>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</si>
  <si>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</si>
  <si>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</si>
  <si>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</si>
  <si>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</si>
  <si>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</si>
  <si>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</si>
  <si>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</si>
  <si>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</si>
  <si>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</si>
  <si>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</si>
  <si>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</si>
  <si>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</si>
  <si>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</si>
  <si>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</si>
  <si>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</si>
  <si>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</si>
  <si>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</si>
  <si>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</si>
  <si>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</si>
  <si>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</si>
  <si>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</si>
  <si>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</si>
  <si>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</si>
  <si>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</si>
  <si>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</si>
  <si>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</si>
  <si>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</si>
  <si>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</si>
  <si>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</si>
  <si>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</si>
  <si>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</si>
  <si>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</si>
  <si>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</si>
  <si>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</si>
  <si>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</si>
  <si>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</si>
  <si>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</si>
  <si>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</si>
  <si>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</si>
  <si>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</si>
  <si>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</si>
  <si>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</si>
  <si>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</si>
  <si>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</si>
  <si>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</si>
  <si>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</si>
  <si>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</si>
  <si>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</si>
  <si>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</si>
  <si>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</si>
  <si>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</si>
  <si>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</si>
  <si>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</si>
  <si>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</si>
  <si>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</si>
  <si>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</si>
  <si>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</si>
  <si>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</si>
  <si>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</si>
  <si>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</si>
  <si>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</si>
  <si>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</si>
  <si>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</si>
  <si>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</si>
  <si>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</si>
  <si>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</si>
  <si>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</si>
  <si>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</si>
  <si>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</si>
  <si>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</si>
  <si>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</si>
  <si>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</si>
  <si>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</si>
  <si>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</si>
  <si>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</si>
  <si>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</si>
  <si>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</si>
  <si>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</si>
  <si>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</si>
  <si>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</si>
  <si>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</si>
  <si>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</si>
  <si>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</si>
  <si>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</si>
  <si>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</si>
  <si>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</si>
  <si>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</si>
  <si>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</si>
  <si>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</si>
  <si>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</si>
  <si>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</si>
  <si>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</si>
  <si>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</si>
  <si>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</si>
  <si>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</si>
  <si>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</si>
  <si>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</si>
  <si>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</si>
  <si>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</si>
  <si>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</si>
  <si>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</si>
  <si>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</si>
  <si>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</si>
  <si>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</si>
  <si>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</si>
  <si>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</si>
  <si>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</si>
  <si>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</si>
  <si>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</si>
  <si>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</si>
  <si>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</si>
  <si>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</si>
  <si>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</si>
  <si>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</si>
  <si>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</si>
  <si>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</si>
  <si>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</si>
  <si>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</si>
  <si>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</si>
  <si>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</si>
  <si>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</si>
  <si>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</si>
  <si>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</si>
  <si>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</si>
  <si>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</si>
  <si>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</si>
  <si>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</si>
  <si>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</si>
  <si>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</si>
  <si>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</si>
  <si>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</si>
  <si>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</si>
  <si>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</si>
  <si>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</si>
  <si>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</si>
  <si>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</si>
  <si>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</si>
  <si>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</si>
  <si>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</si>
  <si>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</si>
  <si>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</si>
  <si>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</si>
  <si>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</si>
  <si>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</si>
  <si>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</si>
  <si>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</si>
  <si>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</si>
  <si>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</si>
  <si>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</si>
  <si>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</si>
  <si>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</si>
  <si>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</si>
  <si>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</si>
  <si>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</si>
  <si>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</si>
  <si>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</si>
  <si>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</si>
  <si>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</si>
  <si>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</si>
  <si>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</si>
  <si>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</si>
  <si>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</si>
  <si>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</si>
  <si>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</si>
  <si>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</si>
  <si>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</si>
  <si>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</si>
  <si>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</si>
  <si>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</si>
  <si>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</si>
  <si>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</si>
  <si>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</si>
  <si>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</si>
  <si>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</si>
  <si>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</si>
  <si>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</si>
  <si>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</si>
  <si>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</si>
  <si>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</si>
  <si>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</si>
  <si>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</si>
  <si>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</si>
  <si>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</si>
  <si>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</si>
  <si>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</si>
  <si>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</si>
  <si>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</si>
  <si>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</si>
  <si>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</si>
  <si>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</si>
  <si>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</si>
  <si>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</si>
  <si>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</si>
  <si>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</si>
  <si>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</si>
  <si>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</si>
  <si>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</si>
  <si>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</si>
  <si>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</si>
  <si>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</si>
  <si>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</si>
  <si>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</si>
  <si>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</si>
  <si>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</si>
  <si>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</si>
  <si>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</si>
  <si>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</si>
  <si>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</si>
  <si>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</si>
  <si>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</si>
  <si>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</si>
  <si>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</si>
  <si>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</si>
  <si>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</si>
  <si>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</si>
  <si>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</si>
  <si>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</si>
  <si>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</si>
  <si>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</si>
  <si>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</si>
  <si>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</si>
  <si>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</si>
  <si>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</si>
  <si>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</si>
  <si>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</si>
  <si>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</si>
  <si>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</si>
  <si>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</si>
  <si>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</si>
  <si>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</si>
  <si>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</si>
  <si>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</si>
  <si>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</si>
  <si>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</si>
  <si>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</si>
  <si>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</si>
  <si>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</si>
  <si>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</si>
  <si>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</si>
  <si>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</si>
  <si>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</si>
  <si>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</si>
  <si>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</si>
  <si>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</si>
  <si>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</si>
  <si>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</si>
  <si>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</si>
  <si>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</si>
  <si>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</si>
  <si>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</si>
  <si>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</si>
  <si>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</si>
  <si>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</si>
  <si>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</si>
  <si>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</si>
  <si>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</si>
  <si>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</si>
  <si>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</si>
  <si>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</si>
  <si>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</si>
  <si>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</si>
  <si>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</si>
  <si>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</si>
  <si>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</si>
  <si>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</si>
  <si>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</si>
  <si>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</si>
  <si>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</si>
  <si>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</si>
  <si>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</si>
  <si>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</si>
  <si>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</si>
  <si>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</si>
  <si>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</si>
  <si>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</si>
  <si>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</si>
  <si>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</si>
  <si>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</si>
  <si>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</si>
  <si>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</si>
  <si>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</si>
  <si>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</si>
  <si>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</si>
  <si>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</si>
  <si>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</si>
  <si>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</si>
  <si>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</si>
  <si>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</si>
  <si>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</si>
  <si>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</si>
  <si>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</si>
  <si>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</si>
  <si>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</si>
  <si>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</si>
  <si>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</si>
  <si>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</si>
  <si>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</si>
  <si>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</si>
  <si>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</si>
  <si>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</si>
  <si>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</si>
  <si>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</si>
  <si>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</si>
  <si>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</si>
  <si>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</si>
  <si>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</si>
  <si>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</si>
  <si>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</si>
  <si>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</si>
  <si>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</si>
  <si>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</si>
  <si>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</si>
  <si>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</si>
  <si>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</si>
  <si>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</si>
  <si>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</si>
  <si>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</si>
  <si>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</si>
  <si>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</si>
  <si>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</si>
  <si>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</si>
  <si>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</si>
  <si>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</si>
  <si>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</si>
  <si>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</si>
  <si>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</si>
  <si>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</si>
  <si>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</si>
  <si>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</si>
  <si>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26 347 бр.</t>
  </si>
  <si>
    <t>3. Оазис Тур АД</t>
  </si>
  <si>
    <t>442 825 бр.</t>
  </si>
  <si>
    <t>4. Унитех АД в ликвидация</t>
  </si>
  <si>
    <t>29 846 бр.</t>
  </si>
  <si>
    <t>7 348 бр.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</si>
  <si>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</si>
  <si>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</si>
  <si>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</si>
  <si>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</si>
  <si>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</si>
  <si>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</si>
  <si>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</si>
  <si>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</si>
  <si>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</si>
  <si>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45 бр.</t>
  </si>
  <si>
    <t>4 бр.</t>
  </si>
  <si>
    <t>7. Аква Оазис ООД</t>
  </si>
  <si>
    <t>26 бр.</t>
  </si>
  <si>
    <t>39 025 бр.</t>
  </si>
  <si>
    <t>1 298 бр.</t>
  </si>
  <si>
    <t>587 бр.</t>
  </si>
  <si>
    <t>1331 бр.</t>
  </si>
  <si>
    <t>Дата на съставяне: 27.07.2017 г</t>
  </si>
  <si>
    <t xml:space="preserve"> 2017 г. 30.06 - ВТОРО ТРИМЕСЕЧИЕ КОНСОЛИДИРАН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</si>
</sst>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5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51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891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155</v>
      </c>
      <c r="D11" s="204">
        <v>142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3183</v>
      </c>
      <c r="D12" s="204">
        <v>3184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176</v>
      </c>
      <c r="D13" s="204">
        <v>176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720</v>
      </c>
      <c r="D14" s="204">
        <v>720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18</v>
      </c>
      <c r="D15" s="204">
        <v>18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35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203</v>
      </c>
      <c r="D18" s="204">
        <v>203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4490</v>
      </c>
      <c r="D19" s="208">
        <f>SUM(D11:D18)</f>
        <v>4463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1157</v>
      </c>
      <c r="H21" s="209">
        <f>SUM(H22:H24)</f>
        <v>1157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102</v>
      </c>
      <c r="H22" s="205">
        <v>102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1055</v>
      </c>
      <c r="H24" s="205">
        <v>1055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1157</v>
      </c>
      <c r="H25" s="207">
        <f>H19+H20+H21</f>
        <v>1157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1278</v>
      </c>
      <c r="H27" s="207">
        <f>SUM(H28:H30)</f>
        <v>193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1376</v>
      </c>
      <c r="H28" s="205">
        <v>283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-98</v>
      </c>
      <c r="H29" s="390">
        <v>-90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26</v>
      </c>
      <c r="D30" s="204">
        <v>26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73.20320000000001</v>
      </c>
      <c r="H31" s="205">
        <v>40</v>
      </c>
      <c r="M31" s="210"/>
    </row>
    <row r="32" spans="1:15" ht="15">
      <c r="A32" s="290" t="s">
        <v>98</v>
      </c>
      <c r="B32" s="305" t="s">
        <v>99</v>
      </c>
      <c r="C32" s="208">
        <f>C30+C31</f>
        <v>26</v>
      </c>
      <c r="D32" s="208">
        <f>D30+D31</f>
        <v>26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1351.2032</v>
      </c>
      <c r="H33" s="207">
        <f>H27+H31+H32</f>
        <v>233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802</v>
      </c>
      <c r="D34" s="208">
        <f>SUM(D35:D38)</f>
        <v>802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№8'!F50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>
        <f>'справка №5'!R29</f>
        <v>0</v>
      </c>
      <c r="D36" s="204"/>
      <c r="E36" s="292" t="s">
        <v>110</v>
      </c>
      <c r="F36" s="316" t="s">
        <v>111</v>
      </c>
      <c r="G36" s="207">
        <f>G25+G17+G33</f>
        <v>3699.2032</v>
      </c>
      <c r="H36" s="207">
        <f>H25+H17+H33</f>
        <v>2581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№8'!C62-'справка №8'!C50-'справка №8'!C49</f>
        <v>782</v>
      </c>
      <c r="D37" s="204">
        <v>782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/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7054-(7054*38.62%)</f>
        <v>4329.7452</v>
      </c>
      <c r="H39" s="211">
        <v>4192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№8'!F65</f>
        <v>8</v>
      </c>
      <c r="D44" s="204">
        <v>8</v>
      </c>
      <c r="E44" s="323" t="s">
        <v>134</v>
      </c>
      <c r="F44" s="297" t="s">
        <v>135</v>
      </c>
      <c r="G44" s="205">
        <v>706</v>
      </c>
      <c r="H44" s="205">
        <v>217</v>
      </c>
    </row>
    <row r="45" spans="1:15" ht="15">
      <c r="A45" s="290" t="s">
        <v>136</v>
      </c>
      <c r="B45" s="304" t="s">
        <v>137</v>
      </c>
      <c r="C45" s="208">
        <f>C34+C39+C44</f>
        <v>810</v>
      </c>
      <c r="D45" s="208">
        <f>D34+D39+D44</f>
        <v>810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531</v>
      </c>
      <c r="H46" s="205">
        <v>302</v>
      </c>
    </row>
    <row r="47" spans="1:13" ht="15">
      <c r="A47" s="290" t="s">
        <v>143</v>
      </c>
      <c r="B47" s="296" t="s">
        <v>144</v>
      </c>
      <c r="C47" s="204"/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0</v>
      </c>
      <c r="D48" s="204">
        <v>0</v>
      </c>
      <c r="E48" s="292" t="s">
        <v>149</v>
      </c>
      <c r="F48" s="297" t="s">
        <v>150</v>
      </c>
      <c r="G48" s="205">
        <v>12</v>
      </c>
      <c r="H48" s="205">
        <v>14</v>
      </c>
    </row>
    <row r="49" spans="1:18" ht="15">
      <c r="A49" s="290" t="s">
        <v>151</v>
      </c>
      <c r="B49" s="296" t="s">
        <v>152</v>
      </c>
      <c r="C49" s="204"/>
      <c r="D49" s="204">
        <v>0</v>
      </c>
      <c r="E49" s="306" t="s">
        <v>51</v>
      </c>
      <c r="F49" s="300" t="s">
        <v>153</v>
      </c>
      <c r="G49" s="207">
        <f>SUM(G43:G48)</f>
        <v>1249</v>
      </c>
      <c r="H49" s="207">
        <f>SUM(H43:H48)</f>
        <v>533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3</v>
      </c>
      <c r="D54" s="204">
        <v>3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5329</v>
      </c>
      <c r="D55" s="208">
        <f>D19+D20+D21+D27+D32+D45+D51+D53+D54</f>
        <v>5302</v>
      </c>
      <c r="E55" s="292" t="s">
        <v>172</v>
      </c>
      <c r="F55" s="316" t="s">
        <v>173</v>
      </c>
      <c r="G55" s="207">
        <f>G49+G51+G52+G53+G54</f>
        <v>1249</v>
      </c>
      <c r="H55" s="207">
        <f>H49+H51+H52+H53+H54</f>
        <v>533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2060</v>
      </c>
      <c r="D58" s="204">
        <v>1060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93</v>
      </c>
      <c r="D59" s="204">
        <v>93</v>
      </c>
      <c r="E59" s="306" t="s">
        <v>181</v>
      </c>
      <c r="F59" s="297" t="s">
        <v>182</v>
      </c>
      <c r="G59" s="205">
        <v>0</v>
      </c>
      <c r="H59" s="205">
        <v>0</v>
      </c>
      <c r="M59" s="210"/>
    </row>
    <row r="60" spans="1:8" ht="15">
      <c r="A60" s="290" t="s">
        <v>183</v>
      </c>
      <c r="B60" s="296" t="s">
        <v>184</v>
      </c>
      <c r="C60" s="204">
        <v>1</v>
      </c>
      <c r="D60" s="204">
        <v>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60</v>
      </c>
      <c r="D61" s="204">
        <v>60</v>
      </c>
      <c r="E61" s="298" t="s">
        <v>189</v>
      </c>
      <c r="F61" s="327" t="s">
        <v>190</v>
      </c>
      <c r="G61" s="207">
        <f>SUM(G62:G68)</f>
        <v>494</v>
      </c>
      <c r="H61" s="207">
        <f>SUM(H62:H68)</f>
        <v>357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>
        <v>0</v>
      </c>
      <c r="E63" s="292" t="s">
        <v>197</v>
      </c>
      <c r="F63" s="297" t="s">
        <v>198</v>
      </c>
      <c r="G63" s="205">
        <v>2</v>
      </c>
      <c r="H63" s="205">
        <v>2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2214</v>
      </c>
      <c r="D64" s="208">
        <f>SUM(D58:D63)</f>
        <v>1214</v>
      </c>
      <c r="E64" s="292" t="s">
        <v>200</v>
      </c>
      <c r="F64" s="297" t="s">
        <v>201</v>
      </c>
      <c r="G64" s="205">
        <v>252</v>
      </c>
      <c r="H64" s="205">
        <v>186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213</v>
      </c>
      <c r="H65" s="205">
        <v>150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16</v>
      </c>
      <c r="H66" s="205">
        <v>12</v>
      </c>
    </row>
    <row r="67" spans="1:8" ht="15">
      <c r="A67" s="290" t="s">
        <v>207</v>
      </c>
      <c r="B67" s="296" t="s">
        <v>208</v>
      </c>
      <c r="C67" s="204">
        <v>8</v>
      </c>
      <c r="D67" s="204"/>
      <c r="E67" s="292" t="s">
        <v>209</v>
      </c>
      <c r="F67" s="297" t="s">
        <v>210</v>
      </c>
      <c r="G67" s="205">
        <v>4</v>
      </c>
      <c r="H67" s="205">
        <v>2</v>
      </c>
    </row>
    <row r="68" spans="1:8" ht="15">
      <c r="A68" s="290" t="s">
        <v>211</v>
      </c>
      <c r="B68" s="296" t="s">
        <v>212</v>
      </c>
      <c r="C68" s="204">
        <v>776</v>
      </c>
      <c r="D68" s="204">
        <v>642</v>
      </c>
      <c r="E68" s="292" t="s">
        <v>213</v>
      </c>
      <c r="F68" s="297" t="s">
        <v>214</v>
      </c>
      <c r="G68" s="205">
        <v>7</v>
      </c>
      <c r="H68" s="205">
        <v>5</v>
      </c>
    </row>
    <row r="69" spans="1:8" ht="15">
      <c r="A69" s="290" t="s">
        <v>215</v>
      </c>
      <c r="B69" s="296" t="s">
        <v>216</v>
      </c>
      <c r="C69" s="204">
        <v>118</v>
      </c>
      <c r="D69" s="204">
        <v>55</v>
      </c>
      <c r="E69" s="306" t="s">
        <v>78</v>
      </c>
      <c r="F69" s="297" t="s">
        <v>217</v>
      </c>
      <c r="G69" s="205">
        <v>102</v>
      </c>
      <c r="H69" s="205">
        <v>96</v>
      </c>
    </row>
    <row r="70" spans="1:8" ht="15">
      <c r="A70" s="290" t="s">
        <v>218</v>
      </c>
      <c r="B70" s="296" t="s">
        <v>219</v>
      </c>
      <c r="C70" s="204">
        <v>5</v>
      </c>
      <c r="D70" s="204">
        <v>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/>
      <c r="E71" s="308" t="s">
        <v>46</v>
      </c>
      <c r="F71" s="328" t="s">
        <v>224</v>
      </c>
      <c r="G71" s="214">
        <f>G59+G60+G61+G69+G70</f>
        <v>596</v>
      </c>
      <c r="H71" s="214">
        <f>H59+H60+H61+H69+H70</f>
        <v>453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132</v>
      </c>
      <c r="D72" s="204">
        <f>20</f>
        <v>20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131+930</f>
        <v>1061</v>
      </c>
      <c r="D74" s="204">
        <v>136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2100</v>
      </c>
      <c r="D75" s="208">
        <f>SUM(D67:D74)</f>
        <v>858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596</v>
      </c>
      <c r="H79" s="215">
        <f>H71+H74+H75+H76</f>
        <v>453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107</v>
      </c>
      <c r="D87" s="204">
        <v>227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124</v>
      </c>
      <c r="D88" s="204">
        <v>158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231</v>
      </c>
      <c r="D91" s="208">
        <f>SUM(D87:D90)</f>
        <v>385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4545</v>
      </c>
      <c r="D93" s="208">
        <f>D64+D75+D84+D91+D92</f>
        <v>2457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9874</v>
      </c>
      <c r="D94" s="217">
        <f>D93+D55</f>
        <v>7759</v>
      </c>
      <c r="E94" s="556" t="s">
        <v>270</v>
      </c>
      <c r="F94" s="344" t="s">
        <v>271</v>
      </c>
      <c r="G94" s="218">
        <f>G36+G39+G55+G79</f>
        <v>9873.948400000001</v>
      </c>
      <c r="H94" s="218">
        <f>H36+H39+H55+H79</f>
        <v>7759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-0.05159999999887077</v>
      </c>
      <c r="H97" s="603">
        <f>D94-H94</f>
        <v>0</v>
      </c>
      <c r="M97" s="210"/>
    </row>
    <row r="98" spans="1:13" ht="15">
      <c r="A98" s="78" t="s">
        <v>890</v>
      </c>
      <c r="B98" s="538"/>
      <c r="C98" s="606" t="s">
        <v>819</v>
      </c>
      <c r="D98" s="606"/>
      <c r="E98" s="606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6" t="s">
        <v>781</v>
      </c>
      <c r="D100" s="607"/>
      <c r="E100" s="607"/>
      <c r="F100" s="606"/>
      <c r="G100" s="607"/>
      <c r="H100" s="607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2">
      <selection activeCell="A45" sqref="A4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0" t="s">
        <v>2</v>
      </c>
      <c r="G2" s="610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2017 г. 30.06 - ВТОРО ТРИМЕСЕЧИЕ 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88</v>
      </c>
      <c r="D9" s="79">
        <v>53</v>
      </c>
      <c r="E9" s="362" t="s">
        <v>283</v>
      </c>
      <c r="F9" s="364" t="s">
        <v>284</v>
      </c>
      <c r="G9" s="87">
        <v>8</v>
      </c>
      <c r="H9" s="87">
        <v>30</v>
      </c>
    </row>
    <row r="10" spans="1:8" ht="12">
      <c r="A10" s="362" t="s">
        <v>285</v>
      </c>
      <c r="B10" s="363" t="s">
        <v>286</v>
      </c>
      <c r="C10" s="79">
        <v>104</v>
      </c>
      <c r="D10" s="79">
        <v>165</v>
      </c>
      <c r="E10" s="362" t="s">
        <v>287</v>
      </c>
      <c r="F10" s="364" t="s">
        <v>288</v>
      </c>
      <c r="G10" s="87">
        <v>6</v>
      </c>
      <c r="H10" s="87">
        <v>11</v>
      </c>
    </row>
    <row r="11" spans="1:8" ht="12">
      <c r="A11" s="362" t="s">
        <v>289</v>
      </c>
      <c r="B11" s="363" t="s">
        <v>290</v>
      </c>
      <c r="C11" s="79">
        <v>1</v>
      </c>
      <c r="D11" s="79">
        <v>3</v>
      </c>
      <c r="E11" s="365" t="s">
        <v>291</v>
      </c>
      <c r="F11" s="364" t="s">
        <v>292</v>
      </c>
      <c r="G11" s="87">
        <v>94</v>
      </c>
      <c r="H11" s="87">
        <v>59</v>
      </c>
    </row>
    <row r="12" spans="1:8" ht="12">
      <c r="A12" s="362" t="s">
        <v>293</v>
      </c>
      <c r="B12" s="363" t="s">
        <v>294</v>
      </c>
      <c r="C12" s="79">
        <v>39</v>
      </c>
      <c r="D12" s="79">
        <v>63</v>
      </c>
      <c r="E12" s="365" t="s">
        <v>78</v>
      </c>
      <c r="F12" s="364" t="s">
        <v>295</v>
      </c>
      <c r="G12" s="87">
        <v>439</v>
      </c>
      <c r="H12" s="87">
        <v>233</v>
      </c>
    </row>
    <row r="13" spans="1:18" ht="12">
      <c r="A13" s="362" t="s">
        <v>296</v>
      </c>
      <c r="B13" s="363" t="s">
        <v>297</v>
      </c>
      <c r="C13" s="79">
        <v>8</v>
      </c>
      <c r="D13" s="79">
        <v>12</v>
      </c>
      <c r="E13" s="366" t="s">
        <v>51</v>
      </c>
      <c r="F13" s="367" t="s">
        <v>298</v>
      </c>
      <c r="G13" s="88">
        <f>SUM(G9:G12)</f>
        <v>547</v>
      </c>
      <c r="H13" s="88">
        <f>SUM(H9:H12)</f>
        <v>333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75</v>
      </c>
      <c r="D14" s="79">
        <v>14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0</v>
      </c>
      <c r="D15" s="80">
        <v>0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</v>
      </c>
      <c r="D16" s="80">
        <v>1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316</v>
      </c>
      <c r="D19" s="82">
        <f>SUM(D9:D15)+D16</f>
        <v>311</v>
      </c>
      <c r="E19" s="372" t="s">
        <v>315</v>
      </c>
      <c r="F19" s="368" t="s">
        <v>316</v>
      </c>
      <c r="G19" s="87"/>
      <c r="H19" s="87">
        <v>23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17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19</v>
      </c>
      <c r="D22" s="79">
        <v>21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17</v>
      </c>
      <c r="H24" s="88">
        <f>SUM(H19:H23)</f>
        <v>23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5</v>
      </c>
      <c r="D25" s="79">
        <v>3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24</v>
      </c>
      <c r="D26" s="82">
        <f>SUM(D22:D25)</f>
        <v>24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340</v>
      </c>
      <c r="D28" s="83">
        <f>D26+D19</f>
        <v>335</v>
      </c>
      <c r="E28" s="173" t="s">
        <v>337</v>
      </c>
      <c r="F28" s="369" t="s">
        <v>338</v>
      </c>
      <c r="G28" s="88">
        <f>G13+G15+G24</f>
        <v>564</v>
      </c>
      <c r="H28" s="88">
        <f>H13+H15+H24</f>
        <v>356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224</v>
      </c>
      <c r="D30" s="83">
        <f>IF((H28-D28)&gt;0,H28-D28,0)</f>
        <v>21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340</v>
      </c>
      <c r="D33" s="82">
        <f>D28+D31+D32</f>
        <v>335</v>
      </c>
      <c r="E33" s="173" t="s">
        <v>351</v>
      </c>
      <c r="F33" s="369" t="s">
        <v>352</v>
      </c>
      <c r="G33" s="90">
        <f>G32+G31+G28</f>
        <v>564</v>
      </c>
      <c r="H33" s="90">
        <f>H32+H31+H28</f>
        <v>356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224</v>
      </c>
      <c r="D34" s="83">
        <f>IF((H33-D33)&gt;0,H33-D33,0)</f>
        <v>21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224</v>
      </c>
      <c r="D39" s="568">
        <f>+IF((H33-D33-D35)&gt;0,H33-D33-D35,0)</f>
        <v>21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C39*67.32%</f>
        <v>150.7968</v>
      </c>
      <c r="D40" s="84">
        <f>D39*0.4166666</f>
        <v>8.7499986</v>
      </c>
      <c r="E40" s="173" t="s">
        <v>369</v>
      </c>
      <c r="F40" s="174" t="s">
        <v>371</v>
      </c>
      <c r="G40" s="87"/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73.20320000000001</v>
      </c>
      <c r="D41" s="85">
        <f>IF(H39=0,IF(D39-D40&gt;0,D39-D40+H40,0),IF(H39-H40&lt;0,H40-H39+D39,0))</f>
        <v>12.2500014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564</v>
      </c>
      <c r="D42" s="86">
        <f>D33+D35+D39</f>
        <v>356</v>
      </c>
      <c r="E42" s="176" t="s">
        <v>378</v>
      </c>
      <c r="F42" s="177" t="s">
        <v>379</v>
      </c>
      <c r="G42" s="90">
        <f>G39+G33</f>
        <v>564</v>
      </c>
      <c r="H42" s="90">
        <f>H39+H33</f>
        <v>356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8"/>
      <c r="E44" s="608"/>
      <c r="F44" s="608"/>
      <c r="G44" s="608"/>
      <c r="H44" s="608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9"/>
      <c r="E46" s="609"/>
      <c r="F46" s="609"/>
      <c r="G46" s="609"/>
      <c r="H46" s="609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2">
      <selection activeCell="C54" sqref="C54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2017 г. 30.06 - ВТОРО ТРИМЕСЕЧИЕ КОНСОЛИДИРАН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1047</v>
      </c>
      <c r="D10" s="92">
        <f>127+20</f>
        <v>147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f>-842-250</f>
        <v>-1092</v>
      </c>
      <c r="D11" s="92">
        <f>-97-8</f>
        <v>-105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-87</v>
      </c>
      <c r="D13" s="92">
        <v>-27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40</v>
      </c>
      <c r="D14" s="92">
        <v>1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-3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-916+38</f>
        <v>-878</v>
      </c>
      <c r="D19" s="92">
        <v>-3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-973</v>
      </c>
      <c r="D20" s="93">
        <f>SUM(D10:D19)</f>
        <v>9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/>
      <c r="D22" s="92">
        <v>-2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>
        <v>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-3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-3</v>
      </c>
      <c r="D32" s="93">
        <f>SUM(D22:D31)</f>
        <v>-2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926</v>
      </c>
      <c r="D36" s="92">
        <v>14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-106</v>
      </c>
      <c r="D37" s="92">
        <v>-13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-2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6</v>
      </c>
      <c r="D39" s="92">
        <v>0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-2</v>
      </c>
      <c r="D41" s="92">
        <v>-1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822</v>
      </c>
      <c r="D42" s="93">
        <f>SUM(D34:D41)</f>
        <v>0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-154</v>
      </c>
      <c r="D43" s="93">
        <f>D42+D32+D20</f>
        <v>7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385</v>
      </c>
      <c r="D44" s="183">
        <f>276+122-20</f>
        <v>378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231</v>
      </c>
      <c r="D45" s="93">
        <f>D44+D43</f>
        <v>385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231</v>
      </c>
      <c r="D46" s="94">
        <f>D45</f>
        <v>385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27.07.2017 г</v>
      </c>
      <c r="B50" s="543" t="s">
        <v>381</v>
      </c>
      <c r="C50" s="611"/>
      <c r="D50" s="611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864</v>
      </c>
      <c r="C52" s="611"/>
      <c r="D52" s="611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6">
      <selection activeCell="M29" sqref="M2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4" t="str">
        <f>'справка №1-БАЛАНС'!E3</f>
        <v>Булгар Чех Инвест Холдинг АД - Смолян</v>
      </c>
      <c r="D3" s="615"/>
      <c r="E3" s="615"/>
      <c r="F3" s="615"/>
      <c r="G3" s="615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4" t="str">
        <f>'справка №1-БАЛАНС'!E4</f>
        <v>КОНСОЛИДИРАН </v>
      </c>
      <c r="D4" s="614"/>
      <c r="E4" s="616"/>
      <c r="F4" s="614"/>
      <c r="G4" s="614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4" t="str">
        <f>'справка №1-БАЛАНС'!E5</f>
        <v> 2017 г. 30.06 - ВТОРО ТРИМЕСЕЧИЕ КОНСОЛИДИРАН</v>
      </c>
      <c r="D5" s="615"/>
      <c r="E5" s="615"/>
      <c r="F5" s="615"/>
      <c r="G5" s="615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102</v>
      </c>
      <c r="G11" s="96">
        <f>'справка №1-БАЛАНС'!H23</f>
        <v>0</v>
      </c>
      <c r="H11" s="98">
        <f>'справка №1-БАЛАНС'!H24</f>
        <v>1055</v>
      </c>
      <c r="I11" s="96">
        <f>'справка №1-БАЛАНС'!H28+'справка №1-БАЛАНС'!H31</f>
        <v>323</v>
      </c>
      <c r="J11" s="96">
        <f>'справка №1-БАЛАНС'!H29+'справка №1-БАЛАНС'!H32</f>
        <v>-90</v>
      </c>
      <c r="K11" s="98"/>
      <c r="L11" s="423">
        <f>SUM(C11:K11)</f>
        <v>2581</v>
      </c>
      <c r="M11" s="96">
        <f>'справка №1-БАЛАНС'!H39</f>
        <v>4192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102</v>
      </c>
      <c r="G15" s="99">
        <f t="shared" si="2"/>
        <v>0</v>
      </c>
      <c r="H15" s="99">
        <f t="shared" si="2"/>
        <v>1055</v>
      </c>
      <c r="I15" s="99">
        <f t="shared" si="2"/>
        <v>323</v>
      </c>
      <c r="J15" s="99">
        <f t="shared" si="2"/>
        <v>-90</v>
      </c>
      <c r="K15" s="99">
        <f t="shared" si="2"/>
        <v>0</v>
      </c>
      <c r="L15" s="423">
        <f t="shared" si="1"/>
        <v>2581</v>
      </c>
      <c r="M15" s="99">
        <f t="shared" si="2"/>
        <v>4192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73.20320000000001</v>
      </c>
      <c r="J16" s="424">
        <f>+'справка №1-БАЛАНС'!G32</f>
        <v>0</v>
      </c>
      <c r="K16" s="98"/>
      <c r="L16" s="423">
        <f t="shared" si="1"/>
        <v>73.20320000000001</v>
      </c>
      <c r="M16" s="98">
        <f>'справка №2-ОТЧЕТ ЗА ДОХОДИТE'!C40+('справка №2-ОТЧЕТ ЗА ДОХОДИТE'!G40*-1)</f>
        <v>150.7968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f>1376-346+15</f>
        <v>1045</v>
      </c>
      <c r="J28" s="98"/>
      <c r="K28" s="98"/>
      <c r="L28" s="423">
        <f t="shared" si="1"/>
        <v>1045</v>
      </c>
      <c r="M28" s="98">
        <v>-13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102</v>
      </c>
      <c r="G29" s="97">
        <f t="shared" si="6"/>
        <v>0</v>
      </c>
      <c r="H29" s="97">
        <f t="shared" si="6"/>
        <v>1055</v>
      </c>
      <c r="I29" s="97">
        <f t="shared" si="6"/>
        <v>1441.2032</v>
      </c>
      <c r="J29" s="97">
        <f t="shared" si="6"/>
        <v>-90</v>
      </c>
      <c r="K29" s="97">
        <f t="shared" si="6"/>
        <v>0</v>
      </c>
      <c r="L29" s="423">
        <f t="shared" si="1"/>
        <v>3699.2032</v>
      </c>
      <c r="M29" s="97">
        <f t="shared" si="6"/>
        <v>4329.7968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102</v>
      </c>
      <c r="G32" s="97">
        <f t="shared" si="7"/>
        <v>0</v>
      </c>
      <c r="H32" s="97">
        <f t="shared" si="7"/>
        <v>1055</v>
      </c>
      <c r="I32" s="97">
        <f t="shared" si="7"/>
        <v>1441.2032</v>
      </c>
      <c r="J32" s="97">
        <f t="shared" si="7"/>
        <v>-90</v>
      </c>
      <c r="K32" s="97">
        <f t="shared" si="7"/>
        <v>0</v>
      </c>
      <c r="L32" s="423">
        <f t="shared" si="1"/>
        <v>3699.2032</v>
      </c>
      <c r="M32" s="97">
        <f>M29+M30+M31</f>
        <v>4329.7968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0.051599999999780266</v>
      </c>
      <c r="N34" s="19"/>
    </row>
    <row r="35" spans="1:14" ht="12">
      <c r="A35" s="560" t="str">
        <f>'справка №1-БАЛАНС'!A98</f>
        <v>Дата на съставяне: 27.07.2017 г</v>
      </c>
      <c r="B35" s="37"/>
      <c r="C35" s="24"/>
      <c r="D35" s="613" t="s">
        <v>521</v>
      </c>
      <c r="E35" s="613"/>
      <c r="F35" s="613" t="s">
        <v>865</v>
      </c>
      <c r="G35" s="613"/>
      <c r="H35" s="613"/>
      <c r="I35" s="613"/>
      <c r="J35" s="24"/>
      <c r="K35" s="24"/>
      <c r="L35" s="613" t="s">
        <v>866</v>
      </c>
      <c r="M35" s="613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8">
      <selection activeCell="Q45" sqref="Q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2" t="s">
        <v>383</v>
      </c>
      <c r="B2" s="623"/>
      <c r="C2" s="583"/>
      <c r="D2" s="583"/>
      <c r="E2" s="614" t="str">
        <f>'справка №1-БАЛАНС'!E3</f>
        <v>Булгар Чех Инвест Холдинг АД - Смолян</v>
      </c>
      <c r="F2" s="624"/>
      <c r="G2" s="624"/>
      <c r="H2" s="583"/>
      <c r="I2" s="440"/>
      <c r="J2" s="440"/>
      <c r="K2" s="440"/>
      <c r="L2" s="440"/>
      <c r="M2" s="617" t="s">
        <v>2</v>
      </c>
      <c r="N2" s="618"/>
      <c r="O2" s="618"/>
      <c r="P2" s="619">
        <f>'справка №1-БАЛАНС'!H3</f>
        <v>0</v>
      </c>
      <c r="Q2" s="619"/>
      <c r="R2" s="352"/>
    </row>
    <row r="3" spans="1:18" ht="15">
      <c r="A3" s="622" t="s">
        <v>5</v>
      </c>
      <c r="B3" s="623"/>
      <c r="C3" s="584"/>
      <c r="D3" s="584"/>
      <c r="E3" s="614" t="str">
        <f>'справка №1-БАЛАНС'!E5</f>
        <v> 2017 г. 30.06 - ВТОРО ТРИМЕСЕЧИЕ КОНСОЛИДИРАН</v>
      </c>
      <c r="F3" s="625"/>
      <c r="G3" s="625"/>
      <c r="H3" s="442"/>
      <c r="I3" s="442"/>
      <c r="J3" s="442"/>
      <c r="K3" s="442"/>
      <c r="L3" s="442"/>
      <c r="M3" s="620" t="s">
        <v>4</v>
      </c>
      <c r="N3" s="620"/>
      <c r="O3" s="575"/>
      <c r="P3" s="621" t="str">
        <f>'справка №1-БАЛАНС'!H4</f>
        <v> </v>
      </c>
      <c r="Q3" s="621"/>
      <c r="R3" s="353"/>
    </row>
    <row r="4" spans="1:18" ht="12.75">
      <c r="A4" s="435" t="s">
        <v>523</v>
      </c>
      <c r="B4" s="441"/>
      <c r="C4" s="441"/>
      <c r="D4" s="442"/>
      <c r="E4" s="626"/>
      <c r="F4" s="627"/>
      <c r="G4" s="62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8" t="s">
        <v>463</v>
      </c>
      <c r="B5" s="629"/>
      <c r="C5" s="63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5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5" t="s">
        <v>529</v>
      </c>
      <c r="R5" s="635" t="s">
        <v>530</v>
      </c>
    </row>
    <row r="6" spans="1:18" s="44" customFormat="1" ht="48">
      <c r="A6" s="630"/>
      <c r="B6" s="631"/>
      <c r="C6" s="63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6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6"/>
      <c r="R6" s="636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142</v>
      </c>
      <c r="E9" s="242">
        <v>13</v>
      </c>
      <c r="F9" s="242"/>
      <c r="G9" s="113">
        <f>D9+E9-F9</f>
        <v>155</v>
      </c>
      <c r="H9" s="103"/>
      <c r="I9" s="103"/>
      <c r="J9" s="113">
        <f>G9+H9-I9</f>
        <v>155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155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1104</v>
      </c>
      <c r="L10" s="103">
        <v>1</v>
      </c>
      <c r="M10" s="103"/>
      <c r="N10" s="113">
        <f t="shared" si="0"/>
        <v>1105</v>
      </c>
      <c r="O10" s="103"/>
      <c r="P10" s="103"/>
      <c r="Q10" s="113">
        <f t="shared" si="1"/>
        <v>1105</v>
      </c>
      <c r="R10" s="113">
        <f t="shared" si="2"/>
        <v>3183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811</v>
      </c>
      <c r="E11" s="242"/>
      <c r="F11" s="242"/>
      <c r="G11" s="113">
        <f t="shared" si="3"/>
        <v>811</v>
      </c>
      <c r="H11" s="103"/>
      <c r="I11" s="103"/>
      <c r="J11" s="113">
        <f t="shared" si="4"/>
        <v>811</v>
      </c>
      <c r="K11" s="103">
        <v>635</v>
      </c>
      <c r="L11" s="103"/>
      <c r="M11" s="103"/>
      <c r="N11" s="113">
        <f t="shared" si="0"/>
        <v>635</v>
      </c>
      <c r="O11" s="103"/>
      <c r="P11" s="103"/>
      <c r="Q11" s="113">
        <f t="shared" si="1"/>
        <v>635</v>
      </c>
      <c r="R11" s="113">
        <f t="shared" si="2"/>
        <v>176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859</v>
      </c>
      <c r="E12" s="242"/>
      <c r="F12" s="242"/>
      <c r="G12" s="113">
        <f t="shared" si="3"/>
        <v>859</v>
      </c>
      <c r="H12" s="103"/>
      <c r="I12" s="103"/>
      <c r="J12" s="113">
        <f t="shared" si="4"/>
        <v>859</v>
      </c>
      <c r="K12" s="103">
        <v>139</v>
      </c>
      <c r="L12" s="103"/>
      <c r="M12" s="103"/>
      <c r="N12" s="113">
        <f t="shared" si="0"/>
        <v>139</v>
      </c>
      <c r="O12" s="103"/>
      <c r="P12" s="103"/>
      <c r="Q12" s="113">
        <f t="shared" si="1"/>
        <v>139</v>
      </c>
      <c r="R12" s="113">
        <f t="shared" si="2"/>
        <v>720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180</v>
      </c>
      <c r="E13" s="242"/>
      <c r="F13" s="242"/>
      <c r="G13" s="113">
        <f t="shared" si="3"/>
        <v>180</v>
      </c>
      <c r="H13" s="103"/>
      <c r="I13" s="103"/>
      <c r="J13" s="113">
        <f t="shared" si="4"/>
        <v>180</v>
      </c>
      <c r="K13" s="103">
        <v>162</v>
      </c>
      <c r="L13" s="103">
        <v>0</v>
      </c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18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/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v>15</v>
      </c>
      <c r="F15" s="563"/>
      <c r="G15" s="113">
        <f t="shared" si="3"/>
        <v>35</v>
      </c>
      <c r="H15" s="564"/>
      <c r="I15" s="564"/>
      <c r="J15" s="113">
        <f t="shared" si="4"/>
        <v>35</v>
      </c>
      <c r="K15" s="103">
        <v>0</v>
      </c>
      <c r="L15" s="564">
        <v>0</v>
      </c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35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501</v>
      </c>
      <c r="E16" s="242"/>
      <c r="F16" s="242"/>
      <c r="G16" s="113">
        <f t="shared" si="3"/>
        <v>501</v>
      </c>
      <c r="H16" s="103"/>
      <c r="I16" s="103"/>
      <c r="J16" s="113">
        <f t="shared" si="4"/>
        <v>501</v>
      </c>
      <c r="K16" s="103">
        <v>298</v>
      </c>
      <c r="L16" s="103"/>
      <c r="M16" s="103"/>
      <c r="N16" s="113">
        <f t="shared" si="0"/>
        <v>298</v>
      </c>
      <c r="O16" s="103"/>
      <c r="P16" s="103"/>
      <c r="Q16" s="113">
        <f aca="true" t="shared" si="5" ref="Q16:Q25">N16+O16-P16</f>
        <v>298</v>
      </c>
      <c r="R16" s="113">
        <f aca="true" t="shared" si="6" ref="R16:R25">J16-Q16</f>
        <v>203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6949</v>
      </c>
      <c r="E17" s="247">
        <f>SUM(E9:E16)</f>
        <v>28</v>
      </c>
      <c r="F17" s="247">
        <f>SUM(F9:F16)</f>
        <v>0</v>
      </c>
      <c r="G17" s="113">
        <f t="shared" si="3"/>
        <v>6977</v>
      </c>
      <c r="H17" s="114">
        <f>SUM(H9:H16)</f>
        <v>0</v>
      </c>
      <c r="I17" s="114">
        <f>SUM(I9:I16)</f>
        <v>0</v>
      </c>
      <c r="J17" s="113">
        <f t="shared" si="4"/>
        <v>6977</v>
      </c>
      <c r="K17" s="114">
        <f>SUM(K9:K16)</f>
        <v>2486</v>
      </c>
      <c r="L17" s="114">
        <f>SUM(L9:L16)</f>
        <v>1</v>
      </c>
      <c r="M17" s="114">
        <f>SUM(M9:M16)</f>
        <v>0</v>
      </c>
      <c r="N17" s="113">
        <f aca="true" t="shared" si="7" ref="N17:N39">K17+L17-M17</f>
        <v>2487</v>
      </c>
      <c r="O17" s="114">
        <f>SUM(O9:O16)</f>
        <v>0</v>
      </c>
      <c r="P17" s="114">
        <f>SUM(P9:P16)</f>
        <v>0</v>
      </c>
      <c r="Q17" s="113">
        <f t="shared" si="5"/>
        <v>2487</v>
      </c>
      <c r="R17" s="113">
        <f t="shared" si="6"/>
        <v>4490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802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802</v>
      </c>
      <c r="H27" s="109">
        <f t="shared" si="9"/>
        <v>0</v>
      </c>
      <c r="I27" s="109">
        <f t="shared" si="9"/>
        <v>0</v>
      </c>
      <c r="J27" s="110">
        <f t="shared" si="4"/>
        <v>802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802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782</v>
      </c>
      <c r="E30" s="242"/>
      <c r="F30" s="242"/>
      <c r="G30" s="113">
        <f t="shared" si="3"/>
        <v>782</v>
      </c>
      <c r="H30" s="111"/>
      <c r="I30" s="111"/>
      <c r="J30" s="113">
        <f t="shared" si="4"/>
        <v>782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782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0</v>
      </c>
      <c r="E31" s="242"/>
      <c r="F31" s="242"/>
      <c r="G31" s="113">
        <f t="shared" si="3"/>
        <v>0</v>
      </c>
      <c r="H31" s="111"/>
      <c r="I31" s="111"/>
      <c r="J31" s="113">
        <f t="shared" si="4"/>
        <v>0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f>'справка №8'!F65</f>
        <v>8</v>
      </c>
      <c r="E37" s="242"/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810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810</v>
      </c>
      <c r="H38" s="114">
        <f t="shared" si="13"/>
        <v>0</v>
      </c>
      <c r="I38" s="114">
        <f t="shared" si="13"/>
        <v>0</v>
      </c>
      <c r="J38" s="113">
        <f t="shared" si="4"/>
        <v>810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810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95</v>
      </c>
      <c r="E39" s="595"/>
      <c r="F39" s="595"/>
      <c r="G39" s="113">
        <f t="shared" si="3"/>
        <v>95</v>
      </c>
      <c r="H39" s="595"/>
      <c r="I39" s="595"/>
      <c r="J39" s="113">
        <f t="shared" si="4"/>
        <v>95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26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7897</v>
      </c>
      <c r="E40" s="545">
        <f>E17+E18+E19+E25+E38+E39</f>
        <v>28</v>
      </c>
      <c r="F40" s="545">
        <f aca="true" t="shared" si="14" ref="F40:R40">F17+F18+F19+F25+F38+F39</f>
        <v>0</v>
      </c>
      <c r="G40" s="545">
        <f t="shared" si="14"/>
        <v>7925</v>
      </c>
      <c r="H40" s="545">
        <f t="shared" si="14"/>
        <v>0</v>
      </c>
      <c r="I40" s="545">
        <f t="shared" si="14"/>
        <v>0</v>
      </c>
      <c r="J40" s="545">
        <f t="shared" si="14"/>
        <v>7925</v>
      </c>
      <c r="K40" s="545">
        <f t="shared" si="14"/>
        <v>2598</v>
      </c>
      <c r="L40" s="545">
        <f t="shared" si="14"/>
        <v>1</v>
      </c>
      <c r="M40" s="545">
        <f t="shared" si="14"/>
        <v>0</v>
      </c>
      <c r="N40" s="545">
        <f t="shared" si="14"/>
        <v>2599</v>
      </c>
      <c r="O40" s="545">
        <f t="shared" si="14"/>
        <v>0</v>
      </c>
      <c r="P40" s="545">
        <f t="shared" si="14"/>
        <v>0</v>
      </c>
      <c r="Q40" s="545">
        <f t="shared" si="14"/>
        <v>2599</v>
      </c>
      <c r="R40" s="545">
        <f t="shared" si="14"/>
        <v>5326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5326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27.07.2017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4"/>
      <c r="L44" s="634"/>
      <c r="M44" s="634"/>
      <c r="N44" s="634"/>
      <c r="O44" s="618" t="s">
        <v>781</v>
      </c>
      <c r="P44" s="623"/>
      <c r="Q44" s="623"/>
      <c r="R44" s="623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118" sqref="D11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0" t="s">
        <v>609</v>
      </c>
      <c r="B1" s="640"/>
      <c r="C1" s="640"/>
      <c r="D1" s="640"/>
      <c r="E1" s="640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1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41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2" t="str">
        <f>"Отчетен период:"&amp;"           "&amp;'справка №1-БАЛАНС'!E5</f>
        <v>Отчетен период:            2017 г. 30.06 - ВТОРО ТРИМЕСЕЧИЕ КОНСОЛИДИРАН</v>
      </c>
      <c r="B4" s="642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0</v>
      </c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8</v>
      </c>
      <c r="D24" s="165">
        <f>SUM(D25:D27)</f>
        <v>0</v>
      </c>
      <c r="E24" s="166">
        <f>SUM(E25:E27)</f>
        <v>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8</v>
      </c>
      <c r="D25" s="153"/>
      <c r="E25" s="166">
        <f t="shared" si="0"/>
        <v>8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776</v>
      </c>
      <c r="D28" s="153">
        <v>179</v>
      </c>
      <c r="E28" s="166">
        <f t="shared" si="0"/>
        <v>597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118</v>
      </c>
      <c r="D29" s="153"/>
      <c r="E29" s="166">
        <f t="shared" si="0"/>
        <v>118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5</v>
      </c>
      <c r="D30" s="153"/>
      <c r="E30" s="166">
        <f t="shared" si="0"/>
        <v>5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132</v>
      </c>
      <c r="D33" s="150">
        <f>SUM(D34:D37)</f>
        <v>6</v>
      </c>
      <c r="E33" s="167">
        <f>SUM(E34:E37)</f>
        <v>126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126</v>
      </c>
      <c r="D34" s="153"/>
      <c r="E34" s="166">
        <f t="shared" si="0"/>
        <v>126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1061</v>
      </c>
      <c r="D38" s="150">
        <f>SUM(D39:D42)</f>
        <v>0</v>
      </c>
      <c r="E38" s="167">
        <f>SUM(E39:E42)</f>
        <v>1061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1061</v>
      </c>
      <c r="D42" s="153"/>
      <c r="E42" s="166">
        <f t="shared" si="0"/>
        <v>1061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2100</v>
      </c>
      <c r="D43" s="149">
        <f>D24+D28+D29+D31+D30+D32+D33+D38</f>
        <v>185</v>
      </c>
      <c r="E43" s="164">
        <f>E24+E28+E29+E31+E30+E32+E33+E38</f>
        <v>1915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2100</v>
      </c>
      <c r="D44" s="148">
        <f>D43+D21+D19+D9</f>
        <v>185</v>
      </c>
      <c r="E44" s="164">
        <f>E43+E21+E19+E9</f>
        <v>1915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706</v>
      </c>
      <c r="D56" s="148">
        <f>D57+D59</f>
        <v>0</v>
      </c>
      <c r="E56" s="165">
        <f t="shared" si="1"/>
        <v>706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706</v>
      </c>
      <c r="D57" s="153">
        <v>0</v>
      </c>
      <c r="E57" s="165">
        <f t="shared" si="1"/>
        <v>706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531</v>
      </c>
      <c r="D62" s="153"/>
      <c r="E62" s="165">
        <f t="shared" si="1"/>
        <v>531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12</v>
      </c>
      <c r="D64" s="153"/>
      <c r="E64" s="165">
        <f t="shared" si="1"/>
        <v>12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1249</v>
      </c>
      <c r="D66" s="148">
        <f>D52+D56+D61+D62+D63+D64</f>
        <v>0</v>
      </c>
      <c r="E66" s="165">
        <f t="shared" si="1"/>
        <v>1249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494</v>
      </c>
      <c r="D85" s="149">
        <f>SUM(D86:D90)+D94</f>
        <v>192</v>
      </c>
      <c r="E85" s="149">
        <f>SUM(E86:E90)+E94</f>
        <v>302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</v>
      </c>
      <c r="D86" s="153"/>
      <c r="E86" s="165">
        <f t="shared" si="1"/>
        <v>2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252</v>
      </c>
      <c r="D87" s="153">
        <v>186</v>
      </c>
      <c r="E87" s="165">
        <f t="shared" si="1"/>
        <v>66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213</v>
      </c>
      <c r="D88" s="153"/>
      <c r="E88" s="165">
        <f t="shared" si="1"/>
        <v>213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16</v>
      </c>
      <c r="D89" s="153">
        <v>6</v>
      </c>
      <c r="E89" s="165">
        <f t="shared" si="1"/>
        <v>10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7</v>
      </c>
      <c r="D90" s="148">
        <f>SUM(D91:D93)</f>
        <v>0</v>
      </c>
      <c r="E90" s="148">
        <f>SUM(E91:E93)</f>
        <v>7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7</v>
      </c>
      <c r="D92" s="153"/>
      <c r="E92" s="165">
        <f t="shared" si="1"/>
        <v>7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4</v>
      </c>
      <c r="D94" s="153">
        <v>0</v>
      </c>
      <c r="E94" s="165">
        <f t="shared" si="1"/>
        <v>4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102</v>
      </c>
      <c r="D95" s="153">
        <v>56</v>
      </c>
      <c r="E95" s="165">
        <f t="shared" si="1"/>
        <v>46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596</v>
      </c>
      <c r="D96" s="149">
        <f>D85+D80+D75+D71+D95</f>
        <v>248</v>
      </c>
      <c r="E96" s="149">
        <f>E85+E80+E75+E71+E95</f>
        <v>348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1845</v>
      </c>
      <c r="D97" s="149">
        <f>D96+D68+D66</f>
        <v>248</v>
      </c>
      <c r="E97" s="149">
        <f>E96+E68+E66</f>
        <v>1597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9" t="s">
        <v>780</v>
      </c>
      <c r="B107" s="639"/>
      <c r="C107" s="639"/>
      <c r="D107" s="639"/>
      <c r="E107" s="639"/>
      <c r="F107" s="639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8" t="str">
        <f>'справка №1-БАЛАНС'!A98</f>
        <v>Дата на съставяне: 27.07.2017 г</v>
      </c>
      <c r="B109" s="638"/>
      <c r="C109" s="638" t="s">
        <v>381</v>
      </c>
      <c r="D109" s="638"/>
      <c r="E109" s="638"/>
      <c r="F109" s="63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7" t="s">
        <v>781</v>
      </c>
      <c r="D111" s="637"/>
      <c r="E111" s="637"/>
      <c r="F111" s="637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0" sqref="I30:J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4" t="str">
        <f>'справка №1-БАЛАНС'!E3</f>
        <v>Булгар Чех Инвест Холдинг АД - Смолян</v>
      </c>
      <c r="D4" s="625"/>
      <c r="E4" s="625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4" t="str">
        <f>'справка №1-БАЛАНС'!E5</f>
        <v> 2017 г. 30.06 - ВТОРО ТРИМЕСЕЧИЕ КОНСОЛИДИРАН</v>
      </c>
      <c r="D5" s="645"/>
      <c r="E5" s="645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802</v>
      </c>
      <c r="D12" s="141"/>
      <c r="E12" s="141"/>
      <c r="F12" s="141">
        <f>C12</f>
        <v>802</v>
      </c>
      <c r="G12" s="141"/>
      <c r="H12" s="141"/>
      <c r="I12" s="540">
        <f>F12+G12-H12</f>
        <v>802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0</v>
      </c>
      <c r="D16" s="141"/>
      <c r="E16" s="141"/>
      <c r="F16" s="141">
        <f>C16</f>
        <v>0</v>
      </c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802</v>
      </c>
      <c r="D17" s="127">
        <f t="shared" si="1"/>
        <v>0</v>
      </c>
      <c r="E17" s="127">
        <f t="shared" si="1"/>
        <v>0</v>
      </c>
      <c r="F17" s="127">
        <f t="shared" si="1"/>
        <v>802</v>
      </c>
      <c r="G17" s="127">
        <f t="shared" si="1"/>
        <v>0</v>
      </c>
      <c r="H17" s="127">
        <f t="shared" si="1"/>
        <v>0</v>
      </c>
      <c r="I17" s="540">
        <f t="shared" si="0"/>
        <v>802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27.07.2017 г</v>
      </c>
      <c r="B30" s="644"/>
      <c r="C30" s="644"/>
      <c r="D30" s="566" t="s">
        <v>819</v>
      </c>
      <c r="E30" s="643"/>
      <c r="F30" s="643"/>
      <c r="G30" s="643"/>
      <c r="H30" s="518" t="s">
        <v>781</v>
      </c>
      <c r="I30" s="643"/>
      <c r="J30" s="643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44">
      <selection activeCell="G50" sqref="G50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Булгар Чех Инвест Холдинг АД - Смолян</v>
      </c>
      <c r="C5" s="624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4" t="str">
        <f>'справка №1-БАЛАНС'!E5</f>
        <v> 2017 г. 30.06 - ВТОРО ТРИМЕСЕЧИЕ КОНСОЛИДИРАН</v>
      </c>
      <c r="C6" s="645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47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48" t="s">
        <v>874</v>
      </c>
      <c r="B46" s="649"/>
      <c r="C46" s="649"/>
      <c r="D46" s="649"/>
      <c r="E46" s="649"/>
      <c r="F46" s="650"/>
    </row>
    <row r="47" spans="1:7" ht="12.75">
      <c r="A47" s="597" t="s">
        <v>862</v>
      </c>
      <c r="B47" s="70"/>
      <c r="C47" s="548">
        <v>33</v>
      </c>
      <c r="D47" s="598">
        <v>25.5</v>
      </c>
      <c r="E47" s="548"/>
      <c r="F47" s="550">
        <f>C47-E47</f>
        <v>33</v>
      </c>
      <c r="G47" s="604" t="s">
        <v>867</v>
      </c>
    </row>
    <row r="48" spans="1:7" ht="12.75">
      <c r="A48" s="597" t="s">
        <v>863</v>
      </c>
      <c r="B48" s="70"/>
      <c r="C48" s="548">
        <v>11</v>
      </c>
      <c r="D48" s="598">
        <v>30.33</v>
      </c>
      <c r="E48" s="548"/>
      <c r="F48" s="550">
        <f>C48-E48</f>
        <v>11</v>
      </c>
      <c r="G48" s="604" t="s">
        <v>872</v>
      </c>
    </row>
    <row r="49" spans="1:7" ht="12.75">
      <c r="A49" s="597" t="s">
        <v>868</v>
      </c>
      <c r="B49" s="67"/>
      <c r="C49" s="548">
        <v>853</v>
      </c>
      <c r="D49" s="598">
        <v>38.62</v>
      </c>
      <c r="E49" s="548"/>
      <c r="F49" s="550">
        <f>C49</f>
        <v>853</v>
      </c>
      <c r="G49" s="604" t="s">
        <v>869</v>
      </c>
    </row>
    <row r="50" spans="1:7" ht="12.75">
      <c r="A50" s="597" t="s">
        <v>870</v>
      </c>
      <c r="B50" s="67"/>
      <c r="C50" s="548">
        <v>20</v>
      </c>
      <c r="D50" s="598">
        <v>43.17</v>
      </c>
      <c r="E50" s="548"/>
      <c r="F50" s="550">
        <f>C50</f>
        <v>20</v>
      </c>
      <c r="G50" s="604" t="s">
        <v>871</v>
      </c>
    </row>
    <row r="51" spans="1:6" ht="16.5" customHeight="1">
      <c r="A51" s="648" t="s">
        <v>875</v>
      </c>
      <c r="B51" s="649"/>
      <c r="C51" s="649"/>
      <c r="D51" s="649"/>
      <c r="E51" s="649"/>
      <c r="F51" s="650"/>
    </row>
    <row r="52" spans="1:7" ht="12.75">
      <c r="A52" s="597" t="s">
        <v>873</v>
      </c>
      <c r="B52" s="67"/>
      <c r="C52" s="548">
        <v>39</v>
      </c>
      <c r="D52" s="598"/>
      <c r="E52" s="548"/>
      <c r="F52" s="550">
        <f aca="true" t="shared" si="2" ref="F52:F58">C52-E52</f>
        <v>39</v>
      </c>
      <c r="G52" s="604" t="s">
        <v>886</v>
      </c>
    </row>
    <row r="53" spans="1:7" ht="15" customHeight="1">
      <c r="A53" s="597" t="s">
        <v>877</v>
      </c>
      <c r="B53" s="70"/>
      <c r="C53" s="548">
        <f>2+158</f>
        <v>160</v>
      </c>
      <c r="D53" s="548"/>
      <c r="E53" s="548"/>
      <c r="F53" s="550">
        <f t="shared" si="2"/>
        <v>160</v>
      </c>
      <c r="G53" s="604" t="s">
        <v>882</v>
      </c>
    </row>
    <row r="54" spans="1:7" ht="15" customHeight="1">
      <c r="A54" s="597" t="s">
        <v>878</v>
      </c>
      <c r="B54" s="70"/>
      <c r="C54" s="548">
        <v>422</v>
      </c>
      <c r="D54" s="548"/>
      <c r="E54" s="548"/>
      <c r="F54" s="550">
        <f t="shared" si="2"/>
        <v>422</v>
      </c>
      <c r="G54" s="604" t="s">
        <v>889</v>
      </c>
    </row>
    <row r="55" spans="1:7" ht="15" customHeight="1">
      <c r="A55" s="597" t="s">
        <v>879</v>
      </c>
      <c r="B55" s="70"/>
      <c r="C55" s="548">
        <v>59</v>
      </c>
      <c r="D55" s="548"/>
      <c r="E55" s="548"/>
      <c r="F55" s="550">
        <f t="shared" si="2"/>
        <v>59</v>
      </c>
      <c r="G55" s="604" t="s">
        <v>888</v>
      </c>
    </row>
    <row r="56" spans="1:7" ht="15" customHeight="1">
      <c r="A56" s="597" t="s">
        <v>880</v>
      </c>
      <c r="B56" s="70"/>
      <c r="C56" s="548">
        <v>3</v>
      </c>
      <c r="D56" s="548"/>
      <c r="E56" s="548"/>
      <c r="F56" s="550">
        <f t="shared" si="2"/>
        <v>3</v>
      </c>
      <c r="G56" s="604" t="s">
        <v>887</v>
      </c>
    </row>
    <row r="57" spans="1:7" ht="15" customHeight="1">
      <c r="A57" s="597" t="s">
        <v>881</v>
      </c>
      <c r="B57" s="70"/>
      <c r="C57" s="548">
        <v>5</v>
      </c>
      <c r="D57" s="548"/>
      <c r="E57" s="548"/>
      <c r="F57" s="550">
        <f t="shared" si="2"/>
        <v>5</v>
      </c>
      <c r="G57" s="604" t="s">
        <v>883</v>
      </c>
    </row>
    <row r="58" spans="1:7" ht="12.75">
      <c r="A58" s="597" t="s">
        <v>884</v>
      </c>
      <c r="B58" s="67"/>
      <c r="C58" s="548">
        <f>2+48</f>
        <v>50</v>
      </c>
      <c r="D58" s="598"/>
      <c r="E58" s="548"/>
      <c r="F58" s="550">
        <f t="shared" si="2"/>
        <v>50</v>
      </c>
      <c r="G58" s="604" t="s">
        <v>885</v>
      </c>
    </row>
    <row r="59" spans="1:7" ht="12.75">
      <c r="A59" s="66"/>
      <c r="B59" s="67"/>
      <c r="C59" s="548"/>
      <c r="D59" s="598"/>
      <c r="E59" s="548"/>
      <c r="F59" s="550">
        <v>0</v>
      </c>
      <c r="G59" s="604"/>
    </row>
    <row r="60" spans="1:7" ht="12.75">
      <c r="A60" s="66"/>
      <c r="B60" s="67"/>
      <c r="C60" s="548"/>
      <c r="D60" s="548"/>
      <c r="E60" s="548"/>
      <c r="F60" s="550"/>
      <c r="G60" s="604"/>
    </row>
    <row r="61" spans="1:6" ht="12.75">
      <c r="A61" s="597"/>
      <c r="B61" s="67"/>
      <c r="C61" s="548"/>
      <c r="D61" s="598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1655</v>
      </c>
      <c r="D62" s="535"/>
      <c r="E62" s="535">
        <f>SUM(E47:E61)</f>
        <v>0</v>
      </c>
      <c r="F62" s="549">
        <f>SUM(F47:F61)</f>
        <v>1655</v>
      </c>
      <c r="G62" s="605"/>
      <c r="H62" s="525"/>
      <c r="I62" s="605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48" t="s">
        <v>874</v>
      </c>
      <c r="B64" s="649"/>
      <c r="C64" s="649"/>
      <c r="D64" s="649"/>
      <c r="E64" s="649"/>
      <c r="F64" s="649"/>
    </row>
    <row r="65" spans="1:6" ht="27" customHeight="1">
      <c r="A65" s="597" t="s">
        <v>876</v>
      </c>
      <c r="B65" s="70"/>
      <c r="C65" s="548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SUM(C51:C69)</f>
        <v>2401</v>
      </c>
      <c r="D70" s="535"/>
      <c r="E70" s="535">
        <f>SUM(E51:E69)</f>
        <v>0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4056</v>
      </c>
      <c r="D71" s="535"/>
      <c r="E71" s="535">
        <f>E70+E62+E44+E27</f>
        <v>0</v>
      </c>
      <c r="F71" s="549">
        <f>F70+F62+F44+F27</f>
        <v>1663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27.07.2017 г</v>
      </c>
      <c r="B143" s="559"/>
      <c r="C143" s="646" t="s">
        <v>849</v>
      </c>
      <c r="D143" s="646"/>
      <c r="E143" s="646"/>
      <c r="F143" s="646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6" t="s">
        <v>856</v>
      </c>
      <c r="D145" s="646"/>
      <c r="E145" s="646"/>
      <c r="F145" s="646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52:F61 C65:F69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2017-08-26T08:42:56Z</cp:lastPrinted>
  <dcterms:created xsi:type="dcterms:W3CDTF">2000-06-29T12:02:40Z</dcterms:created>
  <dcterms:modified xsi:type="dcterms:W3CDTF">2017-08-27T09:27:58Z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