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135" windowWidth="13800" windowHeight="9960" activeTab="0"/>
  </bookViews>
  <sheets>
    <sheet name="справка №1-БАЛАНС " sheetId="1" r:id="rId1"/>
    <sheet name="справка №2ОТЧЕТ ЗА ДОХОДИТЕ " sheetId="2" r:id="rId2"/>
    <sheet name="справка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Area" localSheetId="2">'справка№3-ОПП по прекия метод'!$A$1:$D$53</definedName>
    <definedName name="_xlnm.Print_Titles" localSheetId="0">'справка №1-БАЛАНС '!$8:$8</definedName>
    <definedName name="_xlnm.Print_Titles" localSheetId="5">'справка №6'!$48:$50</definedName>
  </definedNames>
  <calcPr fullCalcOnLoad="1"/>
</workbook>
</file>

<file path=xl/sharedStrings.xml><?xml version="1.0" encoding="utf-8"?>
<sst xmlns="http://schemas.openxmlformats.org/spreadsheetml/2006/main" count="1076" uniqueCount="874">
  <si>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</si>
  <si>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</si>
  <si>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</si>
  <si>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</si>
  <si>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</si>
  <si>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</si>
  <si>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</si>
  <si>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</si>
  <si>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</si>
  <si>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</si>
  <si>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</si>
  <si>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</si>
  <si>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</si>
  <si>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</si>
  <si>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</si>
  <si>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</si>
  <si>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</si>
  <si>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</si>
  <si>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</si>
  <si>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</si>
  <si>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</si>
  <si>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</si>
  <si>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</si>
  <si>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</si>
  <si>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</si>
  <si>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</si>
  <si>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</si>
  <si>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</si>
  <si>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</si>
  <si>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</si>
  <si>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</si>
  <si>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</si>
  <si>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</si>
  <si>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</si>
  <si>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</si>
  <si>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</si>
  <si>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</si>
  <si>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</si>
  <si>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</si>
  <si>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</si>
  <si>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</si>
  <si>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</si>
  <si>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</si>
  <si>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</si>
  <si>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</si>
  <si>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</si>
  <si>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</si>
  <si>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</si>
  <si>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</si>
  <si>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</si>
  <si>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</si>
  <si>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</si>
  <si>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</si>
  <si>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</si>
  <si>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</si>
  <si>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</si>
  <si>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</si>
  <si>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</si>
  <si>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</si>
  <si>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</si>
  <si>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</si>
  <si>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</si>
  <si>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</si>
  <si>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</si>
  <si>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</si>
  <si>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</si>
  <si>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</si>
  <si>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</si>
  <si>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</si>
  <si>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</si>
  <si>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</si>
  <si>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</si>
  <si>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</si>
  <si>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</si>
  <si>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</si>
  <si>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</si>
  <si>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</si>
  <si>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</si>
  <si>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</si>
  <si>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</si>
  <si>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</si>
  <si>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</si>
  <si>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</si>
  <si>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</si>
  <si>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</si>
  <si>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</si>
  <si>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</si>
  <si>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</si>
  <si>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</si>
  <si>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</si>
  <si>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</si>
  <si>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</si>
  <si>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</si>
  <si>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</si>
  <si>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</si>
  <si>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</si>
  <si>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</si>
  <si>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</si>
  <si>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</si>
  <si>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</si>
  <si>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</si>
  <si>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</si>
  <si>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</si>
  <si>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</si>
  <si>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</si>
  <si>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</si>
  <si>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</si>
  <si>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</si>
  <si>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</si>
  <si>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</si>
  <si>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</si>
  <si>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</si>
  <si>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</si>
  <si>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</si>
  <si>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</si>
  <si>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</si>
  <si>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</si>
  <si>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</si>
  <si>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</si>
  <si>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</si>
  <si>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</si>
  <si>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</si>
  <si>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</si>
  <si>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</si>
  <si>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</si>
  <si>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</si>
  <si>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</si>
  <si>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</si>
  <si>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</si>
  <si>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</si>
  <si>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</si>
  <si>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</si>
  <si>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</si>
  <si>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</si>
  <si>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</si>
  <si>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</si>
  <si>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</si>
  <si>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</si>
  <si>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</si>
  <si>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</si>
  <si>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</si>
  <si>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</si>
  <si>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</si>
  <si>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</si>
  <si>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</si>
  <si>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</si>
  <si>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</si>
  <si>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</si>
  <si>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</si>
  <si>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</si>
  <si>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</si>
  <si>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</si>
  <si>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</si>
  <si>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</si>
  <si>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</si>
  <si>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</si>
  <si>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</si>
  <si>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</si>
  <si>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</si>
  <si>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</si>
  <si>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</si>
  <si>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</si>
  <si>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</si>
  <si>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</si>
  <si>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</si>
  <si>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</si>
  <si>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</si>
  <si>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</si>
  <si>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</si>
  <si>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</si>
  <si>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</si>
  <si>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</si>
  <si>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</si>
  <si>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</si>
  <si>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</si>
  <si>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</si>
  <si>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</si>
  <si>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</si>
  <si>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</si>
  <si>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</si>
  <si>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</si>
  <si>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</si>
  <si>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</si>
  <si>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</si>
  <si>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</si>
  <si>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</si>
  <si>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</si>
  <si>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</si>
  <si>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</si>
  <si>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</si>
  <si>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</si>
  <si>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</si>
  <si>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</si>
  <si>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</si>
  <si>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</si>
  <si>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</si>
  <si>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</si>
  <si>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</si>
  <si>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</si>
  <si>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</si>
  <si>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</si>
  <si>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</si>
  <si>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</si>
  <si>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</si>
  <si>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</si>
  <si>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</si>
  <si>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</si>
  <si>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</si>
  <si>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</si>
  <si>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</si>
  <si>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</si>
  <si>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</si>
  <si>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</si>
  <si>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</si>
  <si>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</si>
  <si>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</si>
  <si>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</si>
  <si>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</si>
  <si>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</si>
  <si>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</si>
  <si>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</si>
  <si>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</si>
  <si>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</si>
  <si>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</si>
  <si>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</si>
  <si>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</si>
  <si>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</si>
  <si>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</si>
  <si>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</si>
  <si>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</si>
  <si>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</si>
  <si>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</si>
  <si>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</si>
  <si>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</si>
  <si>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</si>
  <si>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</si>
  <si>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</si>
  <si>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</si>
  <si>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</si>
  <si>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</si>
  <si>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</si>
  <si>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</si>
  <si>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</si>
  <si>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</si>
  <si>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</si>
  <si>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</si>
  <si>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</si>
  <si>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</si>
  <si>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</si>
  <si>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</si>
  <si>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</si>
  <si>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</si>
  <si>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</si>
  <si>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</si>
  <si>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</si>
  <si>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</si>
  <si>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</si>
  <si>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</si>
  <si>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</si>
  <si>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</si>
  <si>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</si>
  <si>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</si>
  <si>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</si>
  <si>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</si>
  <si>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</si>
  <si>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</si>
  <si>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</si>
  <si>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</si>
  <si>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</si>
  <si>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</si>
  <si>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</si>
  <si>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</si>
  <si>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</si>
  <si>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</si>
  <si>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</si>
  <si>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</si>
  <si>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</si>
  <si>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</si>
  <si>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</si>
  <si>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</si>
  <si>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</si>
  <si>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</si>
  <si>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</si>
  <si>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</si>
  <si>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</si>
  <si>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</si>
  <si>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</si>
  <si>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</si>
  <si>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</si>
  <si>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</si>
  <si>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</si>
  <si>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</si>
  <si>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</si>
  <si>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</si>
  <si>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</si>
  <si>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</si>
  <si>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</si>
  <si>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</si>
  <si>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</si>
  <si>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</si>
  <si>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</si>
  <si>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</si>
  <si>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</si>
  <si>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</si>
  <si>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</si>
  <si>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</si>
  <si>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</si>
  <si>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</si>
  <si>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</si>
  <si>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</si>
  <si>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</si>
  <si>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</si>
  <si>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</si>
  <si>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</si>
  <si>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</si>
  <si>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</si>
  <si>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</si>
  <si>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</si>
  <si>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</si>
  <si>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</si>
  <si>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</si>
  <si>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</si>
  <si>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</si>
  <si>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</si>
  <si>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</si>
  <si>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</si>
  <si>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</si>
  <si>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</si>
  <si>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</si>
  <si>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</si>
  <si>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</si>
  <si>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</si>
  <si>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</si>
  <si>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</si>
  <si>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</si>
  <si>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</si>
  <si>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</si>
  <si>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</si>
  <si>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</si>
  <si>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</si>
  <si>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</si>
  <si>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</si>
  <si>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</si>
  <si>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</si>
  <si>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</si>
  <si>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</si>
  <si>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</si>
  <si>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</si>
  <si>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</si>
  <si>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</si>
  <si>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</si>
  <si>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</si>
  <si>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</si>
  <si>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</si>
  <si>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</si>
  <si>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</si>
  <si>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</si>
  <si>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</si>
  <si>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</si>
  <si>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</si>
  <si>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</si>
  <si>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</si>
  <si>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</si>
  <si>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</si>
  <si>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</si>
  <si>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</si>
  <si>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</si>
  <si>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</si>
  <si>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</si>
  <si>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</si>
  <si>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</si>
  <si>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</si>
  <si>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</si>
  <si>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</si>
  <si>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</si>
  <si>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</si>
  <si>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</si>
  <si>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</si>
  <si>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</si>
  <si>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</si>
  <si>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</si>
  <si>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</si>
  <si>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</si>
  <si>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</si>
  <si>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</si>
  <si>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</si>
  <si>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</si>
  <si>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</si>
  <si>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</si>
  <si>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</si>
  <si>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</si>
  <si>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</si>
  <si>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</si>
  <si>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</si>
  <si>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</si>
  <si>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</si>
  <si>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</si>
  <si>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</si>
  <si>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</si>
  <si>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</si>
  <si>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</si>
  <si>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</si>
  <si>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</si>
  <si>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</si>
  <si>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</si>
  <si>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</si>
  <si>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</si>
  <si>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</si>
  <si>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</si>
  <si>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</si>
  <si>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</si>
  <si>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</si>
  <si>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</si>
  <si>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</si>
  <si>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</si>
  <si>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</si>
  <si>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</si>
  <si>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</si>
  <si>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</si>
  <si>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</si>
  <si>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</si>
  <si>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</si>
  <si>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</si>
  <si>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</si>
  <si>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</si>
  <si>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</si>
  <si>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</si>
  <si>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</si>
  <si>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</si>
  <si>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</si>
  <si>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</si>
  <si>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</si>
  <si>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</si>
  <si>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</si>
  <si>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</si>
  <si>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</si>
  <si>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</si>
  <si>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</si>
  <si>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</si>
  <si>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</si>
  <si>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</si>
  <si>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</si>
  <si>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</si>
  <si>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</si>
  <si>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</si>
  <si>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</si>
  <si>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</si>
  <si>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</si>
  <si>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</si>
  <si>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</si>
  <si>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</si>
  <si>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</si>
  <si>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</si>
  <si>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</si>
  <si>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</si>
  <si>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</si>
  <si>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</si>
  <si>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</si>
  <si>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</si>
  <si>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</si>
  <si>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</si>
  <si>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</si>
  <si>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</si>
  <si>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</si>
  <si>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</si>
  <si>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</si>
  <si>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</si>
  <si>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</si>
  <si>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</si>
  <si>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</si>
  <si>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</si>
  <si>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</si>
  <si>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</si>
  <si>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</si>
  <si>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</si>
  <si>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</si>
  <si>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</si>
  <si>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</si>
  <si>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</si>
  <si>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</si>
  <si>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</si>
  <si>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</si>
  <si>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</si>
  <si>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</si>
  <si>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</si>
  <si>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</si>
  <si>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</si>
  <si>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</si>
  <si>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</si>
  <si>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</si>
  <si>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</si>
  <si>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</si>
  <si>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</si>
  <si>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</si>
  <si>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</si>
  <si>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</si>
  <si>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</si>
  <si>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</si>
  <si>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</si>
  <si>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</si>
  <si>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</si>
  <si>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</si>
  <si>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</si>
  <si>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</si>
  <si>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</si>
  <si>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</si>
  <si>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</si>
  <si>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</si>
  <si>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</si>
  <si>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</si>
  <si>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</si>
  <si>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</si>
  <si>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</si>
  <si>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</si>
  <si>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</si>
  <si>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</si>
  <si>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</si>
  <si>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</si>
  <si>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</si>
  <si>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</si>
  <si>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</si>
  <si>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</si>
  <si>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</si>
  <si>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</si>
  <si>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</si>
  <si>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</si>
  <si>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</si>
  <si>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</si>
  <si>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</si>
  <si>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</si>
  <si>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</si>
  <si>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</si>
  <si>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</si>
  <si>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</si>
  <si>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</si>
  <si>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</si>
  <si>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</si>
  <si>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</si>
  <si>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</si>
  <si>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</si>
  <si>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</si>
  <si>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</si>
  <si>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</si>
  <si>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</si>
  <si>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</si>
  <si>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</si>
  <si>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</si>
  <si>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</si>
  <si>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</si>
  <si>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</si>
  <si>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</si>
  <si>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</si>
  <si>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</si>
  <si>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</si>
  <si>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</si>
  <si>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</si>
  <si>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</si>
  <si>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</si>
  <si>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</si>
  <si>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</si>
  <si>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</si>
  <si>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</si>
  <si>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</si>
  <si>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</si>
  <si>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</si>
  <si>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</si>
  <si>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</si>
  <si>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</si>
  <si>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</si>
  <si>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</si>
  <si>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</si>
  <si>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</si>
  <si>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</si>
  <si>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</si>
  <si>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</si>
  <si>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</si>
  <si>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</si>
  <si>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</si>
  <si>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</si>
  <si>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</si>
  <si>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</si>
  <si>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</si>
  <si>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</si>
  <si>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</si>
  <si>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</si>
  <si>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</si>
  <si>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</si>
  <si>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</si>
  <si>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</si>
  <si>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</si>
  <si>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</si>
  <si>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</si>
  <si>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</si>
  <si>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</si>
  <si>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</si>
  <si>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</si>
  <si>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</si>
  <si>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</si>
  <si>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</si>
  <si>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</si>
  <si>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</si>
  <si>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</si>
  <si>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</si>
  <si>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</si>
  <si>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</si>
  <si>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</si>
  <si>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</si>
  <si>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</si>
  <si>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</si>
  <si>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</si>
  <si>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</si>
  <si>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</si>
  <si>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</si>
  <si>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</si>
  <si>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</si>
  <si>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</si>
  <si>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</si>
  <si>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</si>
  <si>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</si>
  <si>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</si>
  <si>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</si>
  <si>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</si>
  <si>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</si>
  <si>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</si>
  <si>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</si>
  <si>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</si>
  <si>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</si>
  <si>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</si>
  <si>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</si>
  <si>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</si>
  <si>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</si>
  <si>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</si>
  <si>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</si>
  <si>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</si>
  <si>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</si>
  <si>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</si>
  <si>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</si>
  <si>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</si>
  <si>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</si>
  <si>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</si>
  <si>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</si>
  <si>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</si>
  <si>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</si>
  <si>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</si>
  <si>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</si>
  <si>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</si>
  <si>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</si>
  <si>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</si>
  <si>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</si>
  <si>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</si>
  <si>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</si>
  <si>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</si>
  <si>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</si>
  <si>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</si>
  <si>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</si>
  <si>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</si>
  <si>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</si>
  <si>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</si>
  <si>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</si>
  <si>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</si>
  <si>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</si>
  <si>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</si>
  <si>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</si>
  <si>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</si>
  <si>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</si>
  <si>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</si>
  <si>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</si>
  <si>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</si>
  <si>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</si>
  <si>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</si>
  <si>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</si>
  <si>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</si>
  <si>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</si>
  <si>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</si>
  <si>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</si>
  <si>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</si>
  <si>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</si>
  <si>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</si>
  <si>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</si>
  <si>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</si>
  <si>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</si>
  <si>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</si>
  <si>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</si>
  <si>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</si>
  <si>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</si>
  <si>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</si>
  <si>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</si>
  <si>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</si>
  <si>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</si>
  <si>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</si>
  <si>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</si>
  <si>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</si>
  <si>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</si>
  <si>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</si>
  <si>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</si>
  <si>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</si>
  <si>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</si>
  <si>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</si>
  <si>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</si>
  <si>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</si>
  <si>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</si>
  <si>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</si>
  <si>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</si>
  <si>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</si>
  <si>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</si>
  <si>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</si>
  <si>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</si>
  <si>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</si>
  <si>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</si>
  <si>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</si>
  <si>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</si>
  <si>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</si>
  <si>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</si>
  <si>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</si>
  <si>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</si>
  <si>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</si>
  <si>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</si>
  <si>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</si>
  <si>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</si>
  <si>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</si>
  <si>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</si>
  <si>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</si>
  <si>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</si>
  <si>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</si>
  <si>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</si>
  <si>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</si>
  <si>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</si>
  <si>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</si>
  <si>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</si>
  <si>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</si>
  <si>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</si>
  <si>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</si>
  <si>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</si>
  <si>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</si>
  <si>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</si>
  <si>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</si>
  <si>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</si>
  <si>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</si>
  <si>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</si>
  <si>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</si>
  <si>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</si>
  <si>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</si>
  <si>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</si>
  <si>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</si>
  <si>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</si>
  <si>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</si>
  <si>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</si>
  <si>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</si>
  <si>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</si>
  <si>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</si>
  <si>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</si>
  <si>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</si>
  <si>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</si>
  <si>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</si>
  <si>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</si>
  <si>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</si>
  <si>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</si>
  <si>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</si>
  <si>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</si>
  <si>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</si>
  <si>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</si>
  <si>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</si>
  <si>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</si>
  <si>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</si>
  <si>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</si>
  <si>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</si>
  <si>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</si>
  <si>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</si>
  <si>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</si>
  <si>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</si>
  <si>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</si>
  <si>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</si>
  <si>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</si>
  <si>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</si>
  <si>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</si>
  <si>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</si>
  <si>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</si>
  <si>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</si>
  <si>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</si>
  <si>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</si>
  <si>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</si>
  <si>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</si>
  <si>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</si>
  <si>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</si>
  <si>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</si>
  <si>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</si>
  <si>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</si>
  <si>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</si>
  <si>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</si>
  <si>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</si>
  <si>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</si>
  <si>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</si>
  <si>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</si>
  <si>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</si>
  <si>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</si>
  <si>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</si>
  <si>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</si>
  <si>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</si>
  <si>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</si>
  <si>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</si>
  <si>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</si>
  <si>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</si>
  <si>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</si>
  <si>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</si>
  <si>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</si>
  <si>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</si>
  <si>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</si>
  <si>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</si>
  <si>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</si>
  <si>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</si>
  <si>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</si>
  <si>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</si>
  <si>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</si>
  <si>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</si>
  <si>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</si>
  <si>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</si>
  <si>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</si>
  <si>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</si>
  <si>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</si>
  <si>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</si>
  <si>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</si>
  <si>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</si>
  <si>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</si>
  <si>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</si>
  <si>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</si>
  <si>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</si>
  <si>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</si>
  <si>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</si>
  <si>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</si>
  <si>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</si>
  <si>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</si>
  <si>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</si>
  <si>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</si>
  <si>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</si>
  <si>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</si>
  <si>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</si>
  <si>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</si>
  <si>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</si>
  <si>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</si>
  <si>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</si>
  <si>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</si>
  <si>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</si>
  <si>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</si>
  <si>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</si>
  <si>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</si>
  <si>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</si>
  <si>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</si>
  <si>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</si>
  <si>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</si>
  <si>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</si>
  <si>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</si>
  <si>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</si>
  <si>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</si>
  <si>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</si>
  <si>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</si>
  <si>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</si>
  <si>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</si>
  <si>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</si>
  <si>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</si>
  <si>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</si>
  <si>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</si>
  <si>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Транскарт АД</t>
  </si>
  <si>
    <t>(Христина Станева)</t>
  </si>
  <si>
    <t xml:space="preserve"> Ръководител:</t>
  </si>
  <si>
    <t>(Христина  Станева)</t>
  </si>
  <si>
    <t>към 31.12.2008година</t>
  </si>
  <si>
    <t>Дата на съставяне: 26.05.2009 год.</t>
  </si>
  <si>
    <t>Дата на съставяне: 26.05.2009 година</t>
  </si>
  <si>
    <t>Дата на съставяне:26.05.2009 година</t>
  </si>
  <si>
    <t>Дата на съставяне: 26.05.2008 година</t>
  </si>
  <si>
    <t xml:space="preserve">Дата  на съставяне:26.05.2009 година                                                                                                                            </t>
  </si>
  <si>
    <t xml:space="preserve">Дата на съставяне: 26.05.2009 год.                                      </t>
  </si>
  <si>
    <t>(Владимир Ангелов)</t>
  </si>
  <si>
    <t xml:space="preserve">   (Владимир Ангелов)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</si>
</sst>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24">
      <selection activeCell="A44" sqref="A4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861</v>
      </c>
      <c r="F3" s="217" t="s">
        <v>2</v>
      </c>
      <c r="G3" s="172"/>
      <c r="H3" s="461">
        <v>130786407</v>
      </c>
    </row>
    <row r="4" spans="1:8" ht="15">
      <c r="A4" s="575" t="s">
        <v>3</v>
      </c>
      <c r="B4" s="581"/>
      <c r="C4" s="581"/>
      <c r="D4" s="581"/>
      <c r="E4" s="461" t="s">
        <v>860</v>
      </c>
      <c r="F4" s="577" t="s">
        <v>4</v>
      </c>
      <c r="G4" s="578"/>
      <c r="H4" s="461"/>
    </row>
    <row r="5" spans="1:8" ht="15">
      <c r="A5" s="575" t="s">
        <v>5</v>
      </c>
      <c r="B5" s="576"/>
      <c r="C5" s="576"/>
      <c r="D5" s="576"/>
      <c r="E5" s="504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1155</v>
      </c>
      <c r="D13" s="151">
        <v>2542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134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40</v>
      </c>
      <c r="D16" s="151">
        <v>59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1329</v>
      </c>
      <c r="D19" s="155">
        <f>SUM(D11:D18)</f>
        <v>2601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24</v>
      </c>
      <c r="D23" s="151">
        <v>148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51</v>
      </c>
      <c r="D24" s="151">
        <v>167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75</v>
      </c>
      <c r="D27" s="155">
        <f>SUM(D23:D26)</f>
        <v>315</v>
      </c>
      <c r="E27" s="253" t="s">
        <v>83</v>
      </c>
      <c r="F27" s="242" t="s">
        <v>84</v>
      </c>
      <c r="G27" s="154">
        <f>SUM(G28:G30)</f>
        <v>-7547</v>
      </c>
      <c r="H27" s="154">
        <f>SUM(H28:H30)</f>
        <v>-6225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191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-7547</v>
      </c>
      <c r="H29" s="316">
        <f>-6135-281</f>
        <v>-6416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477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-1322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-7070</v>
      </c>
      <c r="H33" s="154">
        <f>H27+H31+H32</f>
        <v>-7547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-70</v>
      </c>
      <c r="H36" s="154">
        <f>H25+H17+H33</f>
        <v>-547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2058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>
        <v>2058</v>
      </c>
      <c r="E43" s="243" t="s">
        <v>130</v>
      </c>
      <c r="F43" s="242" t="s">
        <v>131</v>
      </c>
      <c r="G43" s="152"/>
      <c r="H43" s="152">
        <v>9001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8392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2058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884</v>
      </c>
    </row>
    <row r="47" spans="1:13" ht="15">
      <c r="A47" s="235" t="s">
        <v>143</v>
      </c>
      <c r="B47" s="241" t="s">
        <v>144</v>
      </c>
      <c r="C47" s="151"/>
      <c r="D47" s="151">
        <v>391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>
        <v>340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18277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>
        <v>14452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15183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16</v>
      </c>
    </row>
    <row r="54" spans="1:8" ht="15">
      <c r="A54" s="235" t="s">
        <v>166</v>
      </c>
      <c r="B54" s="249" t="s">
        <v>167</v>
      </c>
      <c r="C54" s="151">
        <v>142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1596</v>
      </c>
      <c r="D55" s="155">
        <f>D19+D20+D21+D27+D32+D45+D51+D53+D54</f>
        <v>20157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18293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136</v>
      </c>
      <c r="D58" s="151">
        <v>183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>
        <v>3662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>
        <v>1033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4076</v>
      </c>
      <c r="H61" s="154">
        <f>SUM(H62:H68)</f>
        <v>1412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759+930</f>
        <v>1689</v>
      </c>
      <c r="H62" s="152">
        <f>611-1-112</f>
        <v>498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136</v>
      </c>
      <c r="D64" s="155">
        <f>SUM(D58:D63)</f>
        <v>183</v>
      </c>
      <c r="E64" s="237" t="s">
        <v>200</v>
      </c>
      <c r="F64" s="242" t="s">
        <v>201</v>
      </c>
      <c r="G64" s="152">
        <v>2254</v>
      </c>
      <c r="H64" s="152">
        <v>735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115</v>
      </c>
      <c r="H66" s="152">
        <v>126</v>
      </c>
    </row>
    <row r="67" spans="1:8" ht="15">
      <c r="A67" s="235" t="s">
        <v>207</v>
      </c>
      <c r="B67" s="241" t="s">
        <v>208</v>
      </c>
      <c r="C67" s="151">
        <v>374</v>
      </c>
      <c r="D67" s="151">
        <v>638</v>
      </c>
      <c r="E67" s="237" t="s">
        <v>209</v>
      </c>
      <c r="F67" s="242" t="s">
        <v>210</v>
      </c>
      <c r="G67" s="152">
        <v>18</v>
      </c>
      <c r="H67" s="152">
        <v>22</v>
      </c>
    </row>
    <row r="68" spans="1:8" ht="15">
      <c r="A68" s="235" t="s">
        <v>211</v>
      </c>
      <c r="B68" s="241" t="s">
        <v>212</v>
      </c>
      <c r="C68" s="151">
        <v>1611</v>
      </c>
      <c r="D68" s="151">
        <v>2810</v>
      </c>
      <c r="E68" s="237" t="s">
        <v>213</v>
      </c>
      <c r="F68" s="242" t="s">
        <v>214</v>
      </c>
      <c r="G68" s="152"/>
      <c r="H68" s="152">
        <v>31</v>
      </c>
    </row>
    <row r="69" spans="1:8" ht="15">
      <c r="A69" s="235" t="s">
        <v>215</v>
      </c>
      <c r="B69" s="241" t="s">
        <v>216</v>
      </c>
      <c r="C69" s="151"/>
      <c r="D69" s="151">
        <v>4</v>
      </c>
      <c r="E69" s="251" t="s">
        <v>78</v>
      </c>
      <c r="F69" s="242" t="s">
        <v>217</v>
      </c>
      <c r="G69" s="152">
        <v>200</v>
      </c>
      <c r="H69" s="152">
        <f>994+112</f>
        <v>1106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4349</v>
      </c>
      <c r="H71" s="161">
        <f>H59+H60+H61+H69+H70</f>
        <v>7286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</v>
      </c>
      <c r="D72" s="151">
        <v>16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32</v>
      </c>
      <c r="D74" s="151">
        <v>50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2027</v>
      </c>
      <c r="D75" s="155">
        <f>SUM(D67:D74)</f>
        <v>3518</v>
      </c>
      <c r="E75" s="251" t="s">
        <v>160</v>
      </c>
      <c r="F75" s="245" t="s">
        <v>234</v>
      </c>
      <c r="G75" s="152">
        <v>36</v>
      </c>
      <c r="H75" s="152">
        <f>723+36</f>
        <v>759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4385</v>
      </c>
      <c r="H79" s="162">
        <f>H71+H74+H75+H76</f>
        <v>8045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1600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544</v>
      </c>
      <c r="D89" s="151">
        <v>100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545</v>
      </c>
      <c r="D91" s="155">
        <f>SUM(D87:D90)</f>
        <v>1707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226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2719</v>
      </c>
      <c r="D93" s="155">
        <f>D64+D75+D84+D91+D92</f>
        <v>5634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4315</v>
      </c>
      <c r="D94" s="164">
        <f>D93+D55</f>
        <v>25791</v>
      </c>
      <c r="E94" s="449" t="s">
        <v>270</v>
      </c>
      <c r="F94" s="289" t="s">
        <v>271</v>
      </c>
      <c r="G94" s="165">
        <f>G36+G39+G55+G79</f>
        <v>4315</v>
      </c>
      <c r="H94" s="165">
        <f>H36+H39+H55+H79</f>
        <v>25791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872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4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H41" sqref="H4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5">
        <f>'справка №1-БАЛАНС '!H3</f>
        <v>130786407</v>
      </c>
    </row>
    <row r="3" spans="1:8" ht="15">
      <c r="A3" s="467" t="s">
        <v>275</v>
      </c>
      <c r="B3" s="584" t="str">
        <f>'справка №1-БАЛАНС '!E4</f>
        <v>консолидиран</v>
      </c>
      <c r="C3" s="584"/>
      <c r="D3" s="584"/>
      <c r="E3" s="584"/>
      <c r="F3" s="545" t="s">
        <v>4</v>
      </c>
      <c r="G3" s="526"/>
      <c r="H3" s="526">
        <f>'справка №1-БАЛАНС '!H4</f>
        <v>0</v>
      </c>
    </row>
    <row r="4" spans="1:8" ht="17.25" customHeight="1">
      <c r="A4" s="467" t="s">
        <v>5</v>
      </c>
      <c r="B4" s="585" t="str">
        <f>'справка №1-БАЛАНС '!E5</f>
        <v>към 31.12.2008година</v>
      </c>
      <c r="C4" s="585"/>
      <c r="D4" s="58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200</v>
      </c>
      <c r="D9" s="46">
        <v>260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1887</v>
      </c>
      <c r="D10" s="46">
        <f>4608-2004</f>
        <v>2604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1199</v>
      </c>
      <c r="D11" s="46">
        <v>1347</v>
      </c>
      <c r="E11" s="300" t="s">
        <v>293</v>
      </c>
      <c r="F11" s="548" t="s">
        <v>294</v>
      </c>
      <c r="G11" s="549">
        <v>5057</v>
      </c>
      <c r="H11" s="549">
        <v>8060</v>
      </c>
    </row>
    <row r="12" spans="1:8" ht="12">
      <c r="A12" s="298" t="s">
        <v>295</v>
      </c>
      <c r="B12" s="299" t="s">
        <v>296</v>
      </c>
      <c r="C12" s="46">
        <v>1465</v>
      </c>
      <c r="D12" s="46">
        <v>1601</v>
      </c>
      <c r="E12" s="300" t="s">
        <v>78</v>
      </c>
      <c r="F12" s="548" t="s">
        <v>297</v>
      </c>
      <c r="G12" s="549"/>
      <c r="H12" s="549">
        <v>80</v>
      </c>
    </row>
    <row r="13" spans="1:18" ht="12">
      <c r="A13" s="298" t="s">
        <v>298</v>
      </c>
      <c r="B13" s="299" t="s">
        <v>299</v>
      </c>
      <c r="C13" s="46">
        <v>219</v>
      </c>
      <c r="D13" s="46">
        <v>283</v>
      </c>
      <c r="E13" s="301" t="s">
        <v>51</v>
      </c>
      <c r="F13" s="550" t="s">
        <v>300</v>
      </c>
      <c r="G13" s="547">
        <f>SUM(G9:G12)</f>
        <v>5057</v>
      </c>
      <c r="H13" s="547">
        <f>SUM(H9:H12)</f>
        <v>8140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925</v>
      </c>
      <c r="D16" s="47">
        <v>2129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>
        <v>769</v>
      </c>
      <c r="D17" s="48">
        <v>1908</v>
      </c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>
        <v>73</v>
      </c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5895</v>
      </c>
      <c r="D19" s="49">
        <f>SUM(D9:D15)+D16</f>
        <v>8224</v>
      </c>
      <c r="E19" s="304" t="s">
        <v>317</v>
      </c>
      <c r="F19" s="551" t="s">
        <v>318</v>
      </c>
      <c r="G19" s="549">
        <f>28+15+154+160</f>
        <v>357</v>
      </c>
      <c r="H19" s="549">
        <v>8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1318</v>
      </c>
      <c r="H21" s="549">
        <v>911</v>
      </c>
    </row>
    <row r="22" spans="1:8" ht="24">
      <c r="A22" s="304" t="s">
        <v>324</v>
      </c>
      <c r="B22" s="305" t="s">
        <v>325</v>
      </c>
      <c r="C22" s="46">
        <f>308+171</f>
        <v>479</v>
      </c>
      <c r="D22" s="46">
        <f>175+2004</f>
        <v>2179</v>
      </c>
      <c r="E22" s="304" t="s">
        <v>326</v>
      </c>
      <c r="F22" s="551" t="s">
        <v>327</v>
      </c>
      <c r="G22" s="549"/>
      <c r="H22" s="549">
        <v>14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21</v>
      </c>
      <c r="D24" s="46">
        <v>48</v>
      </c>
      <c r="E24" s="301" t="s">
        <v>103</v>
      </c>
      <c r="F24" s="553" t="s">
        <v>334</v>
      </c>
      <c r="G24" s="547">
        <f>SUM(G19:G23)</f>
        <v>1675</v>
      </c>
      <c r="H24" s="547">
        <f>SUM(H19:H23)</f>
        <v>933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20</v>
      </c>
      <c r="D25" s="46">
        <v>26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520</v>
      </c>
      <c r="D26" s="49">
        <f>SUM(D22:D25)</f>
        <v>2253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6415</v>
      </c>
      <c r="D28" s="50">
        <f>D26+D19</f>
        <v>10477</v>
      </c>
      <c r="E28" s="127" t="s">
        <v>339</v>
      </c>
      <c r="F28" s="553" t="s">
        <v>340</v>
      </c>
      <c r="G28" s="547">
        <f>G13+G15+G24</f>
        <v>6732</v>
      </c>
      <c r="H28" s="547">
        <f>H13+H15+H24</f>
        <v>9073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317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1404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345</v>
      </c>
      <c r="C31" s="46"/>
      <c r="D31" s="46"/>
      <c r="E31" s="296" t="s">
        <v>853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6415</v>
      </c>
      <c r="D33" s="49">
        <f>D28+D31+D32</f>
        <v>10477</v>
      </c>
      <c r="E33" s="127" t="s">
        <v>353</v>
      </c>
      <c r="F33" s="553" t="s">
        <v>354</v>
      </c>
      <c r="G33" s="53">
        <f>G32+G31+G28</f>
        <v>6732</v>
      </c>
      <c r="H33" s="53">
        <f>H32+H31+H28</f>
        <v>9073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317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1404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-160</v>
      </c>
      <c r="D35" s="49">
        <f>D36+D37+D38</f>
        <v>-82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-160</v>
      </c>
      <c r="D37" s="430">
        <v>-82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477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1322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477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1322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6732</v>
      </c>
      <c r="D42" s="53">
        <f>D33+D35+D39</f>
        <v>10395</v>
      </c>
      <c r="E42" s="128" t="s">
        <v>380</v>
      </c>
      <c r="F42" s="129" t="s">
        <v>381</v>
      </c>
      <c r="G42" s="53">
        <f>G39+G33</f>
        <v>6732</v>
      </c>
      <c r="H42" s="53">
        <f>H39+H33</f>
        <v>10395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39959</v>
      </c>
      <c r="C48" s="427" t="s">
        <v>382</v>
      </c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862</v>
      </c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3"/>
      <c r="E50" s="583"/>
      <c r="F50" s="583"/>
      <c r="G50" s="583"/>
      <c r="H50" s="583"/>
    </row>
    <row r="51" spans="1:8" ht="12">
      <c r="A51" s="563"/>
      <c r="B51" s="559"/>
      <c r="C51" s="425"/>
      <c r="D51" s="425" t="s">
        <v>872</v>
      </c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5" zoomScaleNormal="95" zoomScalePageLayoutView="0" workbookViewId="0" topLeftCell="A1">
      <selection activeCell="D45" sqref="D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 '!E3</f>
        <v>Транскарт АД</v>
      </c>
      <c r="C4" s="540" t="s">
        <v>2</v>
      </c>
      <c r="D4" s="540">
        <f>'справка №1-БАЛАНС '!H3</f>
        <v>130786407</v>
      </c>
      <c r="E4" s="323"/>
      <c r="F4" s="323"/>
    </row>
    <row r="5" spans="1:4" ht="15">
      <c r="A5" s="470" t="s">
        <v>275</v>
      </c>
      <c r="B5" s="470" t="str">
        <f>'справка №1-БАЛАНС '!E4</f>
        <v>консолидиран</v>
      </c>
      <c r="C5" s="541" t="s">
        <v>4</v>
      </c>
      <c r="D5" s="540">
        <f>'справка №1-БАЛАНС '!H4</f>
        <v>0</v>
      </c>
    </row>
    <row r="6" spans="1:6" ht="12" customHeight="1">
      <c r="A6" s="471" t="s">
        <v>5</v>
      </c>
      <c r="B6" s="505" t="str">
        <f>'справка №1-БАЛАНС '!E5</f>
        <v>към 31.12.2008година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4140</v>
      </c>
      <c r="D10" s="54">
        <v>4575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-2062</v>
      </c>
      <c r="D11" s="54">
        <v>-4923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-1347</v>
      </c>
      <c r="D13" s="54">
        <v>-1636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-465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2273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-1448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-2162</v>
      </c>
      <c r="D19" s="54">
        <v>349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-1896</v>
      </c>
      <c r="D20" s="55">
        <f>SUM(D10:D19)</f>
        <v>-820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-185</v>
      </c>
      <c r="D22" s="54">
        <v>-155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-185</v>
      </c>
      <c r="D32" s="55">
        <f>SUM(D22:D31)</f>
        <v>-155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2956</v>
      </c>
      <c r="D36" s="54">
        <v>72661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-1553</v>
      </c>
      <c r="D37" s="54">
        <f>-69819-50</f>
        <v>-69869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-963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-16</v>
      </c>
      <c r="D41" s="54">
        <f>-70+50</f>
        <v>-20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1387</v>
      </c>
      <c r="D42" s="55">
        <f>SUM(D34:D41)</f>
        <v>1809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-694</v>
      </c>
      <c r="D43" s="55">
        <f>D42+D32+D20</f>
        <v>834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695</v>
      </c>
      <c r="D44" s="132">
        <v>773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</v>
      </c>
      <c r="D45" s="55">
        <f>D44+D43</f>
        <v>1607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92913385826772" right="0.2755905511811024" top="1.1023622047244095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F42" sqref="F4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 '!H3</f>
        <v>130786407</v>
      </c>
      <c r="N3" s="2"/>
    </row>
    <row r="4" spans="1:15" s="531" customFormat="1" ht="13.5" customHeight="1">
      <c r="A4" s="467" t="s">
        <v>461</v>
      </c>
      <c r="B4" s="591" t="str">
        <f>'справка №1-БАЛАНС 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 '!H4</f>
        <v>0</v>
      </c>
      <c r="N4" s="3"/>
      <c r="O4" s="3"/>
    </row>
    <row r="5" spans="1:14" s="531" customFormat="1" ht="12.75" customHeight="1">
      <c r="A5" s="467" t="s">
        <v>5</v>
      </c>
      <c r="B5" s="595" t="str">
        <f>'справка №1-БАЛАНС '!E5</f>
        <v>към 31.12.2008година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191</v>
      </c>
      <c r="J11" s="58">
        <f>'справка №1-БАЛАНС '!H29+'справка №1-БАЛАНС '!H32</f>
        <v>-7738</v>
      </c>
      <c r="K11" s="60"/>
      <c r="L11" s="344">
        <f>SUM(C11:K11)</f>
        <v>-547</v>
      </c>
      <c r="M11" s="58">
        <f>'справка №1-БАЛАНС 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191</v>
      </c>
      <c r="J15" s="61">
        <f t="shared" si="2"/>
        <v>-7738</v>
      </c>
      <c r="K15" s="61">
        <f t="shared" si="2"/>
        <v>0</v>
      </c>
      <c r="L15" s="344">
        <f t="shared" si="1"/>
        <v>-547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477</v>
      </c>
      <c r="J16" s="345">
        <f>+'справка №1-БАЛАНС '!G32</f>
        <v>0</v>
      </c>
      <c r="K16" s="60"/>
      <c r="L16" s="344">
        <f t="shared" si="1"/>
        <v>477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668</v>
      </c>
      <c r="J29" s="59">
        <f t="shared" si="6"/>
        <v>-7738</v>
      </c>
      <c r="K29" s="59">
        <f t="shared" si="6"/>
        <v>0</v>
      </c>
      <c r="L29" s="344">
        <f t="shared" si="1"/>
        <v>-70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668</v>
      </c>
      <c r="J32" s="59">
        <f t="shared" si="7"/>
        <v>-7738</v>
      </c>
      <c r="K32" s="59">
        <f t="shared" si="7"/>
        <v>0</v>
      </c>
      <c r="L32" s="344">
        <f t="shared" si="1"/>
        <v>-70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863</v>
      </c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 t="s">
        <v>862</v>
      </c>
      <c r="F39" s="537"/>
      <c r="G39" s="537"/>
      <c r="H39" s="537"/>
      <c r="I39" s="537"/>
      <c r="J39" s="537"/>
      <c r="K39" s="537" t="s">
        <v>872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H29" sqref="H2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 '!E3</f>
        <v>Транскарт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 '!H3</f>
        <v>130786407</v>
      </c>
      <c r="P2" s="483"/>
      <c r="Q2" s="483"/>
      <c r="R2" s="525"/>
    </row>
    <row r="3" spans="1:18" ht="15">
      <c r="A3" s="596" t="s">
        <v>5</v>
      </c>
      <c r="B3" s="597"/>
      <c r="C3" s="599" t="str">
        <f>'справка №1-БАЛАНС '!E5</f>
        <v>към 31.12.2008година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 '!H4</f>
        <v>0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3"/>
      <c r="B6" s="604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6065+2</f>
        <v>6067</v>
      </c>
      <c r="E11" s="189">
        <f>41+1</f>
        <v>42</v>
      </c>
      <c r="F11" s="189">
        <f>51+3</f>
        <v>54</v>
      </c>
      <c r="G11" s="74">
        <f t="shared" si="2"/>
        <v>6055</v>
      </c>
      <c r="H11" s="65"/>
      <c r="I11" s="65"/>
      <c r="J11" s="74">
        <f t="shared" si="3"/>
        <v>6055</v>
      </c>
      <c r="K11" s="65">
        <f>3525+1</f>
        <v>3526</v>
      </c>
      <c r="L11" s="65">
        <v>1037</v>
      </c>
      <c r="M11" s="65">
        <f>33+1</f>
        <v>34</v>
      </c>
      <c r="N11" s="74">
        <f t="shared" si="4"/>
        <v>4529</v>
      </c>
      <c r="O11" s="65">
        <v>371</v>
      </c>
      <c r="P11" s="65"/>
      <c r="Q11" s="74">
        <f t="shared" si="0"/>
        <v>4900</v>
      </c>
      <c r="R11" s="74">
        <f t="shared" si="1"/>
        <v>1155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</v>
      </c>
      <c r="E13" s="189">
        <v>143</v>
      </c>
      <c r="F13" s="189"/>
      <c r="G13" s="74">
        <f t="shared" si="2"/>
        <v>175</v>
      </c>
      <c r="H13" s="65"/>
      <c r="I13" s="65"/>
      <c r="J13" s="74">
        <f t="shared" si="3"/>
        <v>175</v>
      </c>
      <c r="K13" s="65">
        <v>32</v>
      </c>
      <c r="L13" s="65">
        <v>9</v>
      </c>
      <c r="M13" s="65"/>
      <c r="N13" s="74">
        <f t="shared" si="4"/>
        <v>41</v>
      </c>
      <c r="O13" s="65"/>
      <c r="P13" s="65"/>
      <c r="Q13" s="74">
        <f t="shared" si="0"/>
        <v>41</v>
      </c>
      <c r="R13" s="74">
        <f t="shared" si="1"/>
        <v>134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122+1</f>
        <v>123</v>
      </c>
      <c r="E14" s="189">
        <v>1</v>
      </c>
      <c r="F14" s="189">
        <f>1+1</f>
        <v>2</v>
      </c>
      <c r="G14" s="74">
        <f t="shared" si="2"/>
        <v>122</v>
      </c>
      <c r="H14" s="65"/>
      <c r="I14" s="65"/>
      <c r="J14" s="74">
        <f t="shared" si="3"/>
        <v>122</v>
      </c>
      <c r="K14" s="65">
        <v>63</v>
      </c>
      <c r="L14" s="65">
        <f>19+1</f>
        <v>20</v>
      </c>
      <c r="M14" s="65">
        <v>1</v>
      </c>
      <c r="N14" s="74">
        <f t="shared" si="4"/>
        <v>82</v>
      </c>
      <c r="O14" s="65"/>
      <c r="P14" s="65"/>
      <c r="Q14" s="74">
        <f t="shared" si="0"/>
        <v>82</v>
      </c>
      <c r="R14" s="74">
        <f t="shared" si="1"/>
        <v>40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6222</v>
      </c>
      <c r="E17" s="194">
        <f>SUM(E9:E16)</f>
        <v>186</v>
      </c>
      <c r="F17" s="194">
        <f>SUM(F9:F16)</f>
        <v>56</v>
      </c>
      <c r="G17" s="74">
        <f t="shared" si="2"/>
        <v>6352</v>
      </c>
      <c r="H17" s="75">
        <f>SUM(H9:H16)</f>
        <v>0</v>
      </c>
      <c r="I17" s="75">
        <f>SUM(I9:I16)</f>
        <v>0</v>
      </c>
      <c r="J17" s="74">
        <f t="shared" si="3"/>
        <v>6352</v>
      </c>
      <c r="K17" s="75">
        <f>SUM(K9:K16)</f>
        <v>3621</v>
      </c>
      <c r="L17" s="75">
        <f>SUM(L9:L16)</f>
        <v>1066</v>
      </c>
      <c r="M17" s="75">
        <f>SUM(M9:M16)</f>
        <v>35</v>
      </c>
      <c r="N17" s="74">
        <f t="shared" si="4"/>
        <v>4652</v>
      </c>
      <c r="O17" s="75">
        <f>SUM(O9:O16)</f>
        <v>371</v>
      </c>
      <c r="P17" s="75">
        <f>SUM(P9:P16)</f>
        <v>0</v>
      </c>
      <c r="Q17" s="74">
        <f t="shared" si="5"/>
        <v>5023</v>
      </c>
      <c r="R17" s="74">
        <f t="shared" si="6"/>
        <v>1329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103+117</f>
        <v>220</v>
      </c>
      <c r="E21" s="189">
        <v>54</v>
      </c>
      <c r="F21" s="189">
        <f>117+54</f>
        <v>171</v>
      </c>
      <c r="G21" s="74">
        <f t="shared" si="2"/>
        <v>103</v>
      </c>
      <c r="H21" s="65"/>
      <c r="I21" s="65"/>
      <c r="J21" s="74">
        <f t="shared" si="3"/>
        <v>103</v>
      </c>
      <c r="K21" s="65">
        <f>63+10</f>
        <v>73</v>
      </c>
      <c r="L21" s="65">
        <v>16</v>
      </c>
      <c r="M21" s="65">
        <v>10</v>
      </c>
      <c r="N21" s="74">
        <f t="shared" si="4"/>
        <v>79</v>
      </c>
      <c r="O21" s="65"/>
      <c r="P21" s="65"/>
      <c r="Q21" s="74">
        <f t="shared" si="5"/>
        <v>79</v>
      </c>
      <c r="R21" s="74">
        <f t="shared" si="6"/>
        <v>24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782+2</f>
        <v>784</v>
      </c>
      <c r="E22" s="189">
        <v>1</v>
      </c>
      <c r="F22" s="189">
        <v>2</v>
      </c>
      <c r="G22" s="74">
        <f t="shared" si="2"/>
        <v>783</v>
      </c>
      <c r="H22" s="65"/>
      <c r="I22" s="65"/>
      <c r="J22" s="74">
        <f t="shared" si="3"/>
        <v>783</v>
      </c>
      <c r="K22" s="65">
        <f>615+1</f>
        <v>616</v>
      </c>
      <c r="L22" s="65">
        <v>117</v>
      </c>
      <c r="M22" s="65">
        <v>1</v>
      </c>
      <c r="N22" s="74">
        <f t="shared" si="4"/>
        <v>732</v>
      </c>
      <c r="O22" s="65"/>
      <c r="P22" s="65"/>
      <c r="Q22" s="74">
        <f t="shared" si="5"/>
        <v>732</v>
      </c>
      <c r="R22" s="74">
        <f t="shared" si="6"/>
        <v>51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1004</v>
      </c>
      <c r="E25" s="190">
        <f aca="true" t="shared" si="7" ref="E25:P25">SUM(E21:E24)</f>
        <v>55</v>
      </c>
      <c r="F25" s="190">
        <f t="shared" si="7"/>
        <v>173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689</v>
      </c>
      <c r="L25" s="66">
        <f t="shared" si="7"/>
        <v>133</v>
      </c>
      <c r="M25" s="66">
        <f t="shared" si="7"/>
        <v>11</v>
      </c>
      <c r="N25" s="67">
        <f t="shared" si="4"/>
        <v>811</v>
      </c>
      <c r="O25" s="66">
        <f t="shared" si="7"/>
        <v>0</v>
      </c>
      <c r="P25" s="66">
        <f t="shared" si="7"/>
        <v>0</v>
      </c>
      <c r="Q25" s="67">
        <f t="shared" si="5"/>
        <v>811</v>
      </c>
      <c r="R25" s="67">
        <f t="shared" si="6"/>
        <v>75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7226</v>
      </c>
      <c r="E40" s="438">
        <f>E17+E18+E19+E25+E38+E39</f>
        <v>241</v>
      </c>
      <c r="F40" s="438">
        <f aca="true" t="shared" si="13" ref="F40:R40">F17+F18+F19+F25+F38+F39</f>
        <v>229</v>
      </c>
      <c r="G40" s="438">
        <f t="shared" si="13"/>
        <v>7238</v>
      </c>
      <c r="H40" s="438">
        <f t="shared" si="13"/>
        <v>0</v>
      </c>
      <c r="I40" s="438">
        <f t="shared" si="13"/>
        <v>0</v>
      </c>
      <c r="J40" s="438">
        <f t="shared" si="13"/>
        <v>7238</v>
      </c>
      <c r="K40" s="438">
        <f t="shared" si="13"/>
        <v>4310</v>
      </c>
      <c r="L40" s="438">
        <f t="shared" si="13"/>
        <v>1199</v>
      </c>
      <c r="M40" s="438">
        <f t="shared" si="13"/>
        <v>46</v>
      </c>
      <c r="N40" s="438">
        <f t="shared" si="13"/>
        <v>5463</v>
      </c>
      <c r="O40" s="438">
        <f t="shared" si="13"/>
        <v>371</v>
      </c>
      <c r="P40" s="438">
        <f t="shared" si="13"/>
        <v>0</v>
      </c>
      <c r="Q40" s="438">
        <f t="shared" si="13"/>
        <v>5834</v>
      </c>
      <c r="R40" s="438">
        <f t="shared" si="13"/>
        <v>1404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11"/>
      <c r="L44" s="611"/>
      <c r="M44" s="611"/>
      <c r="N44" s="611"/>
      <c r="O44" s="605" t="s">
        <v>780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864</v>
      </c>
      <c r="J45" s="349"/>
      <c r="K45" s="349"/>
      <c r="L45" s="349"/>
      <c r="M45" s="349"/>
      <c r="N45" s="349"/>
      <c r="O45" s="349" t="s">
        <v>873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72" sqref="C72:C7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18" t="str">
        <f>'справка №1-БАЛАНС '!E3</f>
        <v>Транскарт АД</v>
      </c>
      <c r="C3" s="619"/>
      <c r="D3" s="525" t="s">
        <v>2</v>
      </c>
      <c r="E3" s="107">
        <f>'справка №1-БАЛАНС '!H3</f>
        <v>130786407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 '!E5</f>
        <v>към 31.12.2008година</v>
      </c>
      <c r="C4" s="617"/>
      <c r="D4" s="526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50</v>
      </c>
      <c r="D16" s="119">
        <f>+D17+D18</f>
        <v>50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>
        <v>50</v>
      </c>
      <c r="D18" s="108">
        <v>50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50</v>
      </c>
      <c r="D19" s="104">
        <f>D11+D15+D16</f>
        <v>50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142</v>
      </c>
      <c r="D21" s="108">
        <v>142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374</v>
      </c>
      <c r="D24" s="119">
        <f>SUM(D25:D27)</f>
        <v>374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374</v>
      </c>
      <c r="D26" s="108">
        <v>374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1611</v>
      </c>
      <c r="D28" s="108">
        <v>1611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42</v>
      </c>
      <c r="D33" s="105">
        <f>SUM(D34:D37)</f>
        <v>42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10</v>
      </c>
      <c r="D36" s="108">
        <v>10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32</v>
      </c>
      <c r="D37" s="108">
        <v>32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2027</v>
      </c>
      <c r="D43" s="104">
        <f>D24+D28+D29+D31+D30+D32+D33+D38</f>
        <v>2027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2219</v>
      </c>
      <c r="D44" s="103">
        <f>D43+D21+D19+D9</f>
        <v>2219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1689</v>
      </c>
      <c r="D71" s="105">
        <f>SUM(D72:D74)</f>
        <v>1689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759</v>
      </c>
      <c r="D72" s="108">
        <v>759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930</v>
      </c>
      <c r="D74" s="108">
        <v>930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2387</v>
      </c>
      <c r="D85" s="104">
        <f>SUM(D86:D90)+D94</f>
        <v>2387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2254</v>
      </c>
      <c r="D87" s="108">
        <v>2254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115</v>
      </c>
      <c r="D89" s="108">
        <v>115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200</v>
      </c>
      <c r="D95" s="108">
        <v>200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4276</v>
      </c>
      <c r="D96" s="104">
        <f>D85+D80+D75+D71+D95</f>
        <v>4276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4276</v>
      </c>
      <c r="D97" s="104">
        <f>D96+D68+D66</f>
        <v>4276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867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872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G23" sqref="G23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500">
        <f>'справка №1-БАЛАНС '!H3</f>
        <v>130786407</v>
      </c>
    </row>
    <row r="5" spans="1:9" ht="15">
      <c r="A5" s="501" t="s">
        <v>5</v>
      </c>
      <c r="B5" s="621" t="str">
        <f>'справка №1-БАЛАНС '!E5</f>
        <v>към 31.12.2008година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 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868</v>
      </c>
      <c r="B30" s="623"/>
      <c r="C30" s="623"/>
      <c r="D30" s="459" t="s">
        <v>818</v>
      </c>
      <c r="E30" s="622"/>
      <c r="F30" s="622"/>
      <c r="G30" s="622"/>
      <c r="H30" s="420" t="s">
        <v>780</v>
      </c>
      <c r="I30" s="622"/>
      <c r="J30" s="622"/>
    </row>
    <row r="31" spans="1:9" s="520" customFormat="1" ht="12">
      <c r="A31" s="349"/>
      <c r="B31" s="388"/>
      <c r="C31" s="349"/>
      <c r="D31" s="522" t="s">
        <v>862</v>
      </c>
      <c r="E31" s="522"/>
      <c r="F31" s="522"/>
      <c r="G31" s="522"/>
      <c r="H31" s="522" t="s">
        <v>872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7" right="0.55" top="0.5511811023622047" bottom="0.4724409448818898" header="0.5118110236220472" footer="0.5118110236220472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E169" sqref="E168:E169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9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31.12.2008година</v>
      </c>
      <c r="C6" s="628"/>
      <c r="D6" s="509"/>
      <c r="E6" s="568" t="s">
        <v>4</v>
      </c>
      <c r="F6" s="510">
        <f>'справка №1-БАЛАНС '!H4</f>
        <v>0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867</v>
      </c>
      <c r="B151" s="453"/>
      <c r="C151" s="514" t="s">
        <v>382</v>
      </c>
      <c r="D151" s="514"/>
      <c r="E151" s="514" t="s">
        <v>780</v>
      </c>
    </row>
    <row r="152" spans="1:6" ht="12.75">
      <c r="A152" s="516"/>
      <c r="B152" s="517"/>
      <c r="C152" s="516" t="s">
        <v>862</v>
      </c>
      <c r="D152" s="516"/>
      <c r="E152" s="516" t="s">
        <v>872</v>
      </c>
      <c r="F152" s="516"/>
    </row>
    <row r="153" spans="1:2" ht="12.75">
      <c r="A153" s="516"/>
      <c r="B153" s="517"/>
    </row>
    <row r="154" ht="12.75">
      <c r="E154" s="516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4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StanevaH</cp:lastModifiedBy>
  <cp:lastPrinted>2009-02-24T12:56:46Z</cp:lastPrinted>
  <dcterms:created xsi:type="dcterms:W3CDTF">2000-06-29T12:02:40Z</dcterms:created>
  <dcterms:modified xsi:type="dcterms:W3CDTF">2009-05-26T15:57:58Z</dcterms:modified>
  <cp:category/>
  <cp:version/>
  <cp:contentType/>
  <cp:contentStatus/>
</cp:coreProperties>
</file>