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<sst xmlns="http://schemas.openxmlformats.org/spreadsheetml/2006/main" count="1081" uniqueCount="881">
  <si>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</si>
  <si>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</si>
  <si>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</si>
  <si>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</si>
  <si>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</si>
  <si>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</si>
  <si>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</si>
  <si>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</si>
  <si>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</si>
  <si>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</si>
  <si>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</si>
  <si>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</si>
  <si>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</si>
  <si>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</si>
  <si>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</si>
  <si>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</si>
  <si>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</si>
  <si>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</si>
  <si>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</si>
  <si>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</si>
  <si>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</si>
  <si>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</si>
  <si>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</si>
  <si>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</si>
  <si>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</si>
  <si>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</si>
  <si>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</si>
  <si>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</si>
  <si>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</si>
  <si>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</si>
  <si>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</si>
  <si>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</si>
  <si>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</si>
  <si>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</si>
  <si>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</si>
  <si>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</si>
  <si>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</si>
  <si>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</si>
  <si>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</si>
  <si>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</si>
  <si>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</si>
  <si>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</si>
  <si>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</si>
  <si>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</si>
  <si>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</si>
  <si>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</si>
  <si>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</si>
  <si>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</si>
  <si>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</si>
  <si>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</si>
  <si>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</si>
  <si>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</si>
  <si>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</si>
  <si>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</si>
  <si>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</si>
  <si>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</si>
  <si>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</si>
  <si>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</si>
  <si>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</si>
  <si>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</si>
  <si>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</si>
  <si>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</si>
  <si>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</si>
  <si>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</si>
  <si>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</si>
  <si>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</si>
  <si>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</si>
  <si>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</si>
  <si>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</si>
  <si>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</si>
  <si>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</si>
  <si>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</si>
  <si>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</si>
  <si>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</si>
  <si>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</si>
  <si>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</si>
  <si>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</si>
  <si>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</si>
  <si>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</si>
  <si>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</si>
  <si>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</si>
  <si>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</si>
  <si>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</si>
  <si>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</si>
  <si>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</si>
  <si>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</si>
  <si>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</si>
  <si>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</si>
  <si>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</si>
  <si>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</si>
  <si>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</si>
  <si>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</si>
  <si>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</si>
  <si>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</si>
  <si>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</si>
  <si>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</si>
  <si>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</si>
  <si>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</si>
  <si>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</si>
  <si>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</si>
  <si>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</si>
  <si>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</si>
  <si>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</si>
  <si>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</si>
  <si>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</si>
  <si>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</si>
  <si>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</si>
  <si>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</si>
  <si>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</si>
  <si>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</si>
  <si>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</si>
  <si>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</si>
  <si>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</si>
  <si>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</si>
  <si>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</si>
  <si>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</si>
  <si>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</si>
  <si>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</si>
  <si>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</si>
  <si>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</si>
  <si>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</si>
  <si>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</si>
  <si>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</si>
  <si>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</si>
  <si>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</si>
  <si>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</si>
  <si>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</si>
  <si>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</si>
  <si>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</si>
  <si>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</si>
  <si>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</si>
  <si>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</si>
  <si>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</si>
  <si>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</si>
  <si>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</si>
  <si>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</si>
  <si>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</si>
  <si>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</si>
  <si>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</si>
  <si>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</si>
  <si>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</si>
  <si>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</si>
  <si>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</si>
  <si>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</si>
  <si>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</si>
  <si>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</si>
  <si>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</si>
  <si>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</si>
  <si>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</si>
  <si>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</si>
  <si>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</si>
  <si>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</si>
  <si>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</si>
  <si>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</si>
  <si>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</si>
  <si>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</si>
  <si>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</si>
  <si>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</si>
  <si>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</si>
  <si>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</si>
  <si>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</si>
  <si>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</si>
  <si>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</si>
  <si>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</si>
  <si>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</si>
  <si>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</si>
  <si>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</si>
  <si>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</si>
  <si>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</si>
  <si>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</si>
  <si>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</si>
  <si>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</si>
  <si>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</si>
  <si>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</si>
  <si>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</si>
  <si>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</si>
  <si>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</si>
  <si>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</si>
  <si>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</si>
  <si>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</si>
  <si>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</si>
  <si>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</si>
  <si>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</si>
  <si>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</si>
  <si>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</si>
  <si>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</si>
  <si>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</si>
  <si>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</si>
  <si>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</si>
  <si>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</si>
  <si>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</si>
  <si>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</si>
  <si>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</si>
  <si>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</si>
  <si>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</si>
  <si>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</si>
  <si>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</si>
  <si>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</si>
  <si>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</si>
  <si>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</si>
  <si>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</si>
  <si>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</si>
  <si>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</si>
  <si>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</si>
  <si>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</si>
  <si>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</si>
  <si>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</si>
  <si>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</si>
  <si>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</si>
  <si>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</si>
  <si>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</si>
  <si>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</si>
  <si>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</si>
  <si>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</si>
  <si>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</si>
  <si>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</si>
  <si>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</si>
  <si>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</si>
  <si>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</si>
  <si>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</si>
  <si>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</si>
  <si>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</si>
  <si>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</si>
  <si>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</si>
  <si>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</si>
  <si>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</si>
  <si>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</si>
  <si>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</si>
  <si>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</si>
  <si>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</si>
  <si>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</si>
  <si>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</si>
  <si>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</si>
  <si>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</si>
  <si>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</si>
  <si>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</si>
  <si>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</si>
  <si>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</si>
  <si>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</si>
  <si>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</si>
  <si>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</si>
  <si>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</si>
  <si>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</si>
  <si>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</si>
  <si>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</si>
  <si>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</si>
  <si>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</si>
  <si>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</si>
  <si>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</si>
  <si>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</si>
  <si>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</si>
  <si>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</si>
  <si>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</si>
  <si>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</si>
  <si>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</si>
  <si>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</si>
  <si>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</si>
  <si>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</si>
  <si>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</si>
  <si>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</si>
  <si>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</si>
  <si>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</si>
  <si>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</si>
  <si>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</si>
  <si>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</si>
  <si>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</si>
  <si>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</si>
  <si>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</si>
  <si>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</si>
  <si>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</si>
  <si>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</si>
  <si>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</si>
  <si>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</si>
  <si>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</si>
  <si>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</si>
  <si>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</si>
  <si>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</si>
  <si>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</si>
  <si>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</si>
  <si>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</si>
  <si>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</si>
  <si>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</si>
  <si>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</si>
  <si>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</si>
  <si>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</si>
  <si>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</si>
  <si>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</si>
  <si>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</si>
  <si>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</si>
  <si>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</si>
  <si>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</si>
  <si>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</si>
  <si>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</si>
  <si>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</si>
  <si>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</si>
  <si>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</si>
  <si>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</si>
  <si>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</si>
  <si>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</si>
  <si>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</si>
  <si>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</si>
  <si>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</si>
  <si>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</si>
  <si>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</si>
  <si>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</si>
  <si>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</si>
  <si>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</si>
  <si>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</si>
  <si>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</si>
  <si>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</si>
  <si>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</si>
  <si>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</si>
  <si>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</si>
  <si>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</si>
  <si>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</si>
  <si>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</si>
  <si>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</si>
  <si>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</si>
  <si>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</si>
  <si>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</si>
  <si>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</si>
  <si>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</si>
  <si>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</si>
  <si>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</si>
  <si>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</si>
  <si>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</si>
  <si>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</si>
  <si>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</si>
  <si>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</si>
  <si>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</si>
  <si>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</si>
  <si>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</si>
  <si>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</si>
  <si>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</si>
  <si>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</si>
  <si>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</si>
  <si>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</si>
  <si>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</si>
  <si>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</si>
  <si>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</si>
  <si>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</si>
  <si>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</si>
  <si>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</si>
  <si>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</si>
  <si>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</si>
  <si>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</si>
  <si>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</si>
  <si>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</si>
  <si>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</si>
  <si>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</si>
  <si>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</si>
  <si>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</si>
  <si>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</si>
  <si>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</si>
  <si>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</si>
  <si>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</si>
  <si>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</si>
  <si>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</si>
  <si>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</si>
  <si>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</si>
  <si>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</si>
  <si>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</si>
  <si>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</si>
  <si>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</si>
  <si>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</si>
  <si>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</si>
  <si>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</si>
  <si>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</si>
  <si>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</si>
  <si>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</si>
  <si>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</si>
  <si>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</si>
  <si>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</si>
  <si>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</si>
  <si>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</si>
  <si>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</si>
  <si>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</si>
  <si>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</si>
  <si>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</si>
  <si>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</si>
  <si>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</si>
  <si>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</si>
  <si>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</si>
  <si>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</si>
  <si>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</si>
  <si>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</si>
  <si>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</si>
  <si>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</si>
  <si>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</si>
  <si>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</si>
  <si>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</si>
  <si>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</si>
  <si>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</si>
  <si>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</si>
  <si>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</si>
  <si>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</si>
  <si>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</si>
  <si>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</si>
  <si>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</si>
  <si>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</si>
  <si>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</si>
  <si>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</si>
  <si>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</si>
  <si>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</si>
  <si>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</si>
  <si>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</si>
  <si>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</si>
  <si>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</si>
  <si>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</si>
  <si>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</si>
  <si>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</si>
  <si>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</si>
  <si>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</si>
  <si>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</si>
  <si>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</si>
  <si>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</si>
  <si>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</si>
  <si>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</si>
  <si>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</si>
  <si>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</si>
  <si>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</si>
  <si>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</si>
  <si>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</si>
  <si>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</si>
  <si>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</si>
  <si>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</si>
  <si>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</si>
  <si>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</si>
  <si>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</si>
  <si>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</si>
  <si>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</si>
  <si>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</si>
  <si>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</si>
  <si>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</si>
  <si>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</si>
  <si>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</si>
  <si>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</si>
  <si>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</si>
  <si>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</si>
  <si>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</si>
  <si>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</si>
  <si>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</si>
  <si>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</si>
  <si>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</si>
  <si>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</si>
  <si>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</si>
  <si>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</si>
  <si>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</si>
  <si>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</si>
  <si>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</si>
  <si>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</si>
  <si>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</si>
  <si>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</si>
  <si>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</si>
  <si>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</si>
  <si>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</si>
  <si>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</si>
  <si>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</si>
  <si>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</si>
  <si>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</si>
  <si>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</si>
  <si>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</si>
  <si>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</si>
  <si>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</si>
  <si>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</si>
  <si>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</si>
  <si>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</si>
  <si>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</si>
  <si>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</si>
  <si>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</si>
  <si>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</si>
  <si>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</si>
  <si>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</si>
  <si>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</si>
  <si>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</si>
  <si>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</si>
  <si>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</si>
  <si>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</si>
  <si>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</si>
  <si>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</si>
  <si>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</si>
  <si>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</si>
  <si>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</si>
  <si>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</si>
  <si>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</si>
  <si>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</si>
  <si>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</si>
  <si>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</si>
  <si>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</si>
  <si>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</si>
  <si>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</si>
  <si>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</si>
  <si>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</si>
  <si>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</si>
  <si>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</si>
  <si>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</si>
  <si>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</si>
  <si>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</si>
  <si>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</si>
  <si>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</si>
  <si>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</si>
  <si>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</si>
  <si>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</si>
  <si>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</si>
  <si>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</si>
  <si>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</si>
  <si>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</si>
  <si>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</si>
  <si>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</si>
  <si>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</si>
  <si>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</si>
  <si>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</si>
  <si>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</si>
  <si>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</si>
  <si>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</si>
  <si>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</si>
  <si>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</si>
  <si>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</si>
  <si>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</si>
  <si>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</si>
  <si>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</si>
  <si>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</si>
  <si>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</si>
  <si>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</si>
  <si>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</si>
  <si>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</si>
  <si>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</si>
  <si>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</si>
  <si>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</si>
  <si>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</si>
  <si>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</si>
  <si>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</si>
  <si>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</si>
  <si>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</si>
  <si>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</si>
  <si>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</si>
  <si>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</si>
  <si>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</si>
  <si>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</si>
  <si>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</si>
  <si>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</si>
  <si>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</si>
  <si>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</si>
  <si>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</si>
  <si>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</si>
  <si>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</si>
  <si>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</si>
  <si>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</si>
  <si>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</si>
  <si>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</si>
  <si>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</si>
  <si>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</si>
  <si>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</si>
  <si>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</si>
  <si>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</si>
  <si>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</si>
  <si>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</si>
  <si>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</si>
  <si>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</si>
  <si>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</si>
  <si>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</si>
  <si>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</si>
  <si>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</si>
  <si>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</si>
  <si>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</si>
  <si>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</si>
  <si>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</si>
  <si>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</si>
  <si>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</si>
  <si>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</si>
  <si>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</si>
  <si>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</si>
  <si>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</si>
  <si>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</si>
  <si>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</si>
  <si>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</si>
  <si>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</si>
  <si>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</si>
  <si>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</si>
  <si>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</si>
  <si>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</si>
  <si>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</si>
  <si>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</si>
  <si>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</si>
  <si>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</si>
  <si>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</si>
  <si>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</si>
  <si>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</si>
  <si>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</si>
  <si>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</si>
  <si>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</si>
  <si>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</si>
  <si>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</si>
  <si>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</si>
  <si>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</si>
  <si>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</si>
  <si>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</si>
  <si>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</si>
  <si>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</si>
  <si>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</si>
  <si>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</si>
  <si>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</si>
  <si>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</si>
  <si>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</si>
  <si>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</si>
  <si>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</si>
  <si>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</si>
  <si>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</si>
  <si>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</si>
  <si>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</si>
  <si>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</si>
  <si>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</si>
  <si>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</si>
  <si>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</si>
  <si>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</si>
  <si>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</si>
  <si>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</si>
  <si>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</si>
  <si>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</si>
  <si>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</si>
  <si>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</si>
  <si>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</si>
  <si>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</si>
  <si>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</si>
  <si>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</si>
  <si>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</si>
  <si>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</si>
  <si>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</si>
  <si>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</si>
  <si>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</si>
  <si>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</si>
  <si>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</si>
  <si>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</si>
  <si>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</si>
  <si>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</si>
  <si>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</si>
  <si>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</si>
  <si>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</si>
  <si>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</si>
  <si>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</si>
  <si>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</si>
  <si>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</si>
  <si>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</si>
  <si>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</si>
  <si>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</si>
  <si>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</si>
  <si>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</si>
  <si>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</si>
  <si>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</si>
  <si>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</si>
  <si>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</si>
  <si>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</si>
  <si>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</si>
  <si>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</si>
  <si>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</si>
  <si>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</si>
  <si>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</si>
  <si>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</si>
  <si>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</si>
  <si>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</si>
  <si>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</si>
  <si>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</si>
  <si>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</si>
  <si>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</si>
  <si>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</si>
  <si>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</si>
  <si>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</si>
  <si>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</si>
  <si>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</si>
  <si>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</si>
  <si>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</si>
  <si>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</si>
  <si>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</si>
  <si>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</si>
  <si>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</si>
  <si>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</si>
  <si>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</si>
  <si>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</si>
  <si>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</si>
  <si>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</si>
  <si>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</si>
  <si>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</si>
  <si>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</si>
  <si>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</si>
  <si>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</si>
  <si>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</si>
  <si>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</si>
  <si>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</si>
  <si>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</si>
  <si>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</si>
  <si>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</si>
  <si>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</si>
  <si>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</si>
  <si>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</si>
  <si>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</si>
  <si>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</si>
  <si>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</si>
  <si>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</si>
  <si>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</si>
  <si>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</si>
  <si>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</si>
  <si>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</si>
  <si>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</si>
  <si>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</si>
  <si>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</si>
  <si>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</si>
  <si>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</si>
  <si>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</si>
  <si>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</si>
  <si>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</si>
  <si>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</si>
  <si>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</si>
  <si>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</si>
  <si>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</si>
  <si>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</si>
  <si>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</si>
  <si>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</si>
  <si>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</si>
  <si>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</si>
  <si>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</si>
  <si>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</si>
  <si>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</si>
  <si>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</si>
  <si>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</si>
  <si>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</si>
  <si>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</si>
  <si>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</si>
  <si>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</si>
  <si>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</si>
  <si>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</si>
  <si>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</si>
  <si>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</si>
  <si>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</si>
  <si>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</si>
  <si>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</si>
  <si>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</si>
  <si>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</si>
  <si>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</si>
  <si>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</si>
  <si>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</si>
  <si>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</si>
  <si>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</si>
  <si>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</si>
  <si>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</si>
  <si>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</si>
  <si>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</si>
  <si>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</si>
  <si>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</si>
  <si>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</si>
  <si>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</si>
  <si>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</si>
  <si>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</si>
  <si>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</si>
  <si>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</si>
  <si>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</si>
  <si>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</si>
  <si>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</si>
  <si>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</si>
  <si>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</si>
  <si>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</si>
  <si>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</si>
  <si>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</si>
  <si>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</si>
  <si>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</si>
  <si>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</si>
  <si>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</si>
  <si>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</si>
  <si>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</si>
  <si>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</si>
  <si>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</si>
  <si>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</si>
  <si>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</si>
  <si>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</si>
  <si>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</si>
  <si>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</si>
  <si>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</si>
  <si>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</si>
  <si>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</si>
  <si>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</si>
  <si>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</si>
  <si>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</si>
  <si>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</si>
  <si>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</si>
  <si>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</si>
  <si>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</si>
  <si>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</si>
  <si>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</si>
  <si>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</si>
  <si>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</si>
  <si>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</si>
  <si>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</si>
  <si>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</si>
  <si>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</si>
  <si>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</si>
  <si>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</si>
  <si>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</si>
  <si>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</si>
  <si>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</si>
  <si>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</si>
  <si>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</si>
  <si>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</si>
  <si>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</si>
  <si>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</si>
  <si>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</si>
  <si>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</si>
  <si>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</si>
  <si>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</si>
  <si>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</si>
  <si>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</si>
  <si>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</si>
  <si>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</si>
  <si>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</si>
  <si>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</si>
  <si>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</si>
  <si>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</si>
  <si>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</si>
  <si>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</si>
  <si>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</si>
  <si>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</si>
  <si>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</si>
  <si>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</si>
  <si>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</si>
  <si>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</si>
  <si>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</si>
  <si>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</si>
  <si>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</si>
  <si>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</si>
  <si>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</si>
  <si>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</si>
  <si>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</si>
  <si>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</si>
  <si>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</si>
  <si>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</si>
  <si>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</si>
  <si>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</si>
  <si>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</si>
  <si>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</si>
  <si>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</si>
  <si>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</si>
  <si>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</si>
  <si>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</si>
  <si>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</si>
  <si>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</si>
  <si>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</si>
  <si>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</si>
  <si>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</si>
  <si>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</si>
  <si>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</si>
  <si>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</si>
  <si>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</si>
  <si>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</si>
  <si>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</si>
  <si>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</si>
  <si>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</si>
  <si>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</si>
  <si>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</si>
  <si>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</si>
  <si>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</si>
  <si>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</si>
  <si>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</si>
  <si>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</si>
  <si>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</si>
  <si>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</si>
  <si>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</si>
  <si>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</si>
  <si>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</si>
  <si>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</si>
  <si>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З. Минчева</t>
  </si>
  <si>
    <t>В. Филипов</t>
  </si>
  <si>
    <t>Акция:</t>
  </si>
  <si>
    <t>Вид: ПОИМЕННИ, Брой: 31369, Номинал: 5 лв.</t>
  </si>
  <si>
    <t>В Търговския регистър на "МЕТЕКО" АДса вписани:</t>
  </si>
  <si>
    <t xml:space="preserve">                                                                                                       </t>
  </si>
  <si>
    <t xml:space="preserve">Дата на съставяне:     31.12.2012 г.                              </t>
  </si>
  <si>
    <t>Дата на съставяне: 31.12.2012 г.</t>
  </si>
  <si>
    <t xml:space="preserve">Дата на съставяне: 31.12.2012 г.      </t>
  </si>
  <si>
    <t xml:space="preserve">Дата на съставяне: 31.12.2012 г.     </t>
  </si>
  <si>
    <t>ОТЧЕТ 2012 Г.</t>
  </si>
  <si>
    <t>Елпром ЗЕМ притежава 728 бр. акции.</t>
  </si>
  <si>
    <t>31.12.2012 г.</t>
  </si>
  <si>
    <t xml:space="preserve">Дата  на съставяне: 31.12.2012 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</si>
</sst>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0"/>
    </font>
    <font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22" fillId="0" borderId="0" xfId="0" applyFont="1" applyAlignment="1">
      <alignment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83">
      <selection activeCell="G79" sqref="G7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620115</v>
      </c>
    </row>
    <row r="4" spans="1:8" ht="15">
      <c r="A4" s="577" t="s">
        <v>865</v>
      </c>
      <c r="B4" s="583"/>
      <c r="C4" s="583"/>
      <c r="D4" s="583"/>
      <c r="E4" s="504" t="s">
        <v>866</v>
      </c>
      <c r="F4" s="579" t="s">
        <v>3</v>
      </c>
      <c r="G4" s="580"/>
      <c r="H4" s="461">
        <v>275</v>
      </c>
    </row>
    <row r="5" spans="1:8" ht="15">
      <c r="A5" s="577" t="s">
        <v>4</v>
      </c>
      <c r="B5" s="578"/>
      <c r="C5" s="578"/>
      <c r="D5" s="578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6115</v>
      </c>
      <c r="D12" s="151">
        <f>'справка №5'!D10-'справка №5'!K10</f>
        <v>6284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2226</v>
      </c>
      <c r="D13" s="151">
        <f>'справка №5'!D11-'справка №5'!K11</f>
        <v>2323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195</v>
      </c>
      <c r="D14" s="151">
        <f>'справка №5'!D12-'справка №5'!K12</f>
        <v>204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27</v>
      </c>
      <c r="D15" s="151">
        <f>'справка №5'!D13-'справка №5'!K13</f>
        <v>59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90</v>
      </c>
      <c r="D16" s="151">
        <f>'справка №5'!D14-'справка №5'!K14</f>
        <v>94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122</v>
      </c>
      <c r="D17" s="151">
        <f>'справка №5'!D15</f>
        <v>120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18696</v>
      </c>
      <c r="D19" s="155">
        <f>SUM(D11:D18)</f>
        <v>19005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11358</v>
      </c>
      <c r="H20" s="158">
        <v>11358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3946</v>
      </c>
      <c r="H21" s="156">
        <f>SUM(H22:H24)</f>
        <v>4265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10</v>
      </c>
      <c r="D23" s="151">
        <f>'справка №5'!D21-'справка №5'!K21</f>
        <v>34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0</v>
      </c>
      <c r="D24" s="151">
        <f>'справка №5'!D22-'справка №5'!K22</f>
        <v>1</v>
      </c>
      <c r="E24" s="237" t="s">
        <v>71</v>
      </c>
      <c r="F24" s="242" t="s">
        <v>72</v>
      </c>
      <c r="G24" s="152">
        <f>'справка №4-ОСК'!H32</f>
        <v>3825</v>
      </c>
      <c r="H24" s="152">
        <v>4144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15304</v>
      </c>
      <c r="H25" s="154">
        <f>H19+H20+H21</f>
        <v>15623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</v>
      </c>
      <c r="D27" s="155">
        <f>SUM(D23:D26)</f>
        <v>35</v>
      </c>
      <c r="E27" s="253" t="s">
        <v>82</v>
      </c>
      <c r="F27" s="242" t="s">
        <v>83</v>
      </c>
      <c r="G27" s="154">
        <f>SUM(G28:G30)</f>
        <v>4024</v>
      </c>
      <c r="H27" s="154">
        <f>SUM(H28:H30)</f>
        <v>4023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4024</v>
      </c>
      <c r="H28" s="152">
        <v>4023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f>'справка №4-ОСК'!I16</f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-751</v>
      </c>
      <c r="H32" s="316">
        <v>-318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3273</v>
      </c>
      <c r="H33" s="154">
        <f>H27+H31+H32</f>
        <v>3705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19790</v>
      </c>
      <c r="H36" s="154">
        <f>H25+H17+H33</f>
        <v>20541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№5'!R38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67</v>
      </c>
      <c r="H44" s="152">
        <v>460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7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67</v>
      </c>
      <c r="H49" s="154">
        <f>SUM(H43:H48)</f>
        <v>467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486</v>
      </c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486</v>
      </c>
      <c r="D51" s="155">
        <f>SUM(D47:D50)</f>
        <v>0</v>
      </c>
      <c r="E51" s="251" t="s">
        <v>156</v>
      </c>
      <c r="F51" s="245" t="s">
        <v>157</v>
      </c>
      <c r="G51" s="152">
        <v>64</v>
      </c>
      <c r="H51" s="152">
        <v>56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1001</v>
      </c>
      <c r="H53" s="152">
        <v>1073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383</v>
      </c>
      <c r="H54" s="152">
        <v>95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19196</v>
      </c>
      <c r="D55" s="155">
        <f>D19+D20+D21+D27+D32+D45+D51+D53+D54</f>
        <v>19044</v>
      </c>
      <c r="E55" s="237" t="s">
        <v>171</v>
      </c>
      <c r="F55" s="261" t="s">
        <v>172</v>
      </c>
      <c r="G55" s="154">
        <f>G49+G51+G52+G53+G54</f>
        <v>1515</v>
      </c>
      <c r="H55" s="154">
        <f>H49+H51+H52+H53+H54</f>
        <v>1691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769</v>
      </c>
      <c r="D58" s="151">
        <v>851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137</v>
      </c>
      <c r="D59" s="151">
        <v>41</v>
      </c>
      <c r="E59" s="251" t="s">
        <v>180</v>
      </c>
      <c r="F59" s="242" t="s">
        <v>181</v>
      </c>
      <c r="G59" s="152">
        <v>716</v>
      </c>
      <c r="H59" s="152">
        <v>194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108</v>
      </c>
      <c r="D61" s="151">
        <v>184</v>
      </c>
      <c r="E61" s="243" t="s">
        <v>188</v>
      </c>
      <c r="F61" s="272" t="s">
        <v>189</v>
      </c>
      <c r="G61" s="154">
        <f>SUM(G62:G68)</f>
        <v>1252</v>
      </c>
      <c r="H61" s="154">
        <f>SUM(H62:H68)</f>
        <v>923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70</v>
      </c>
      <c r="H62" s="152">
        <v>20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1014</v>
      </c>
      <c r="D64" s="155">
        <f>SUM(D58:D63)</f>
        <v>1076</v>
      </c>
      <c r="E64" s="237" t="s">
        <v>199</v>
      </c>
      <c r="F64" s="242" t="s">
        <v>200</v>
      </c>
      <c r="G64" s="152">
        <v>520</v>
      </c>
      <c r="H64" s="152">
        <v>458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457</v>
      </c>
      <c r="H65" s="152">
        <v>203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125</v>
      </c>
      <c r="H66" s="152">
        <v>153</v>
      </c>
    </row>
    <row r="67" spans="1:8" ht="15">
      <c r="A67" s="235" t="s">
        <v>206</v>
      </c>
      <c r="B67" s="241" t="s">
        <v>207</v>
      </c>
      <c r="C67" s="151">
        <v>1843</v>
      </c>
      <c r="D67" s="151">
        <v>511</v>
      </c>
      <c r="E67" s="237" t="s">
        <v>208</v>
      </c>
      <c r="F67" s="242" t="s">
        <v>209</v>
      </c>
      <c r="G67" s="152">
        <v>40</v>
      </c>
      <c r="H67" s="152">
        <v>49</v>
      </c>
    </row>
    <row r="68" spans="1:8" ht="15">
      <c r="A68" s="235" t="s">
        <v>210</v>
      </c>
      <c r="B68" s="241" t="s">
        <v>211</v>
      </c>
      <c r="C68" s="151">
        <f>'справка №6'!D28</f>
        <v>720</v>
      </c>
      <c r="D68" s="151">
        <v>2067</v>
      </c>
      <c r="E68" s="237" t="s">
        <v>212</v>
      </c>
      <c r="F68" s="242" t="s">
        <v>213</v>
      </c>
      <c r="G68" s="152">
        <v>40</v>
      </c>
      <c r="H68" s="152">
        <v>40</v>
      </c>
    </row>
    <row r="69" spans="1:8" ht="15">
      <c r="A69" s="235" t="s">
        <v>214</v>
      </c>
      <c r="B69" s="241" t="s">
        <v>215</v>
      </c>
      <c r="C69" s="151">
        <f>'справка №6'!C29</f>
        <v>7</v>
      </c>
      <c r="D69" s="151">
        <v>1</v>
      </c>
      <c r="E69" s="251" t="s">
        <v>77</v>
      </c>
      <c r="F69" s="242" t="s">
        <v>216</v>
      </c>
      <c r="G69" s="152">
        <v>32</v>
      </c>
      <c r="H69" s="152">
        <v>42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8</v>
      </c>
      <c r="H70" s="152">
        <v>267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2008</v>
      </c>
      <c r="H71" s="161">
        <f>H59+H60+H61+H69+H70</f>
        <v>1426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424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'справка №6'!C42</f>
        <v>47</v>
      </c>
      <c r="D74" s="151">
        <v>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2678</v>
      </c>
      <c r="D75" s="155">
        <f>SUM(D67:D74)</f>
        <v>3054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24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2032</v>
      </c>
      <c r="H79" s="162">
        <f>H71+H74+H75+H76</f>
        <v>1426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22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403</v>
      </c>
      <c r="D88" s="151">
        <v>421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418</v>
      </c>
      <c r="D91" s="155">
        <f>SUM(D87:D90)</f>
        <v>443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31</v>
      </c>
      <c r="D92" s="151">
        <v>41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4141</v>
      </c>
      <c r="D93" s="155">
        <f>D64+D75+D84+D91+D92</f>
        <v>4614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23337</v>
      </c>
      <c r="D94" s="164">
        <f>D93+D55</f>
        <v>23658</v>
      </c>
      <c r="E94" s="449" t="s">
        <v>269</v>
      </c>
      <c r="F94" s="289" t="s">
        <v>270</v>
      </c>
      <c r="G94" s="165">
        <f>G36+G39+G55+G79</f>
        <v>23337</v>
      </c>
      <c r="H94" s="165">
        <f>H36+H39+H55+H79</f>
        <v>23658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"Елпром ЗЕМ" АД</v>
      </c>
      <c r="C2" s="586"/>
      <c r="D2" s="586"/>
      <c r="E2" s="586"/>
      <c r="F2" s="588" t="s">
        <v>2</v>
      </c>
      <c r="G2" s="588"/>
      <c r="H2" s="526">
        <f>'справка №1-БАЛАНС'!H3</f>
        <v>620115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7" t="str">
        <f>'справка №1-БАЛАНС'!E5</f>
        <v>ОТЧЕТ 2012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2113</v>
      </c>
      <c r="D9" s="46">
        <v>2491</v>
      </c>
      <c r="E9" s="298" t="s">
        <v>284</v>
      </c>
      <c r="F9" s="549" t="s">
        <v>285</v>
      </c>
      <c r="G9" s="550">
        <v>3055</v>
      </c>
      <c r="H9" s="550">
        <v>5290</v>
      </c>
    </row>
    <row r="10" spans="1:8" ht="12">
      <c r="A10" s="298" t="s">
        <v>286</v>
      </c>
      <c r="B10" s="299" t="s">
        <v>287</v>
      </c>
      <c r="C10" s="46">
        <v>1190</v>
      </c>
      <c r="D10" s="46">
        <v>2924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553</v>
      </c>
      <c r="D11" s="46">
        <v>571</v>
      </c>
      <c r="E11" s="300" t="s">
        <v>292</v>
      </c>
      <c r="F11" s="549" t="s">
        <v>293</v>
      </c>
      <c r="G11" s="550">
        <v>2230</v>
      </c>
      <c r="H11" s="550">
        <v>3349</v>
      </c>
    </row>
    <row r="12" spans="1:8" ht="12">
      <c r="A12" s="298" t="s">
        <v>294</v>
      </c>
      <c r="B12" s="299" t="s">
        <v>295</v>
      </c>
      <c r="C12" s="46">
        <v>1909</v>
      </c>
      <c r="D12" s="46">
        <v>1773</v>
      </c>
      <c r="E12" s="300" t="s">
        <v>77</v>
      </c>
      <c r="F12" s="549" t="s">
        <v>296</v>
      </c>
      <c r="G12" s="550">
        <v>520</v>
      </c>
      <c r="H12" s="550">
        <v>405</v>
      </c>
    </row>
    <row r="13" spans="1:18" ht="12">
      <c r="A13" s="298" t="s">
        <v>297</v>
      </c>
      <c r="B13" s="299" t="s">
        <v>298</v>
      </c>
      <c r="C13" s="46">
        <v>335</v>
      </c>
      <c r="D13" s="46">
        <v>373</v>
      </c>
      <c r="E13" s="301" t="s">
        <v>50</v>
      </c>
      <c r="F13" s="551" t="s">
        <v>299</v>
      </c>
      <c r="G13" s="548">
        <f>SUM(G9:G12)</f>
        <v>5805</v>
      </c>
      <c r="H13" s="548">
        <f>SUM(H9:H12)</f>
        <v>9044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99</v>
      </c>
      <c r="D14" s="46">
        <v>35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-81</v>
      </c>
      <c r="D15" s="47">
        <v>806</v>
      </c>
      <c r="E15" s="296" t="s">
        <v>304</v>
      </c>
      <c r="F15" s="554" t="s">
        <v>305</v>
      </c>
      <c r="G15" s="550">
        <v>38</v>
      </c>
      <c r="H15" s="550">
        <v>10</v>
      </c>
    </row>
    <row r="16" spans="1:8" ht="12">
      <c r="A16" s="298" t="s">
        <v>306</v>
      </c>
      <c r="B16" s="299" t="s">
        <v>307</v>
      </c>
      <c r="C16" s="47">
        <v>526</v>
      </c>
      <c r="D16" s="47">
        <v>557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90</v>
      </c>
      <c r="D17" s="48">
        <v>24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6644</v>
      </c>
      <c r="D19" s="49">
        <f>SUM(D9:D15)+D16</f>
        <v>9530</v>
      </c>
      <c r="E19" s="304" t="s">
        <v>316</v>
      </c>
      <c r="F19" s="552" t="s">
        <v>317</v>
      </c>
      <c r="G19" s="550">
        <v>47</v>
      </c>
      <c r="H19" s="550">
        <v>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45</v>
      </c>
      <c r="D22" s="46">
        <v>24</v>
      </c>
      <c r="E22" s="304" t="s">
        <v>325</v>
      </c>
      <c r="F22" s="552" t="s">
        <v>326</v>
      </c>
      <c r="G22" s="550"/>
      <c r="H22" s="550">
        <v>189</v>
      </c>
    </row>
    <row r="23" spans="1:8" ht="24">
      <c r="A23" s="298" t="s">
        <v>327</v>
      </c>
      <c r="B23" s="305" t="s">
        <v>328</v>
      </c>
      <c r="C23" s="46"/>
      <c r="D23" s="46">
        <v>4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/>
      <c r="E24" s="301" t="s">
        <v>102</v>
      </c>
      <c r="F24" s="554" t="s">
        <v>333</v>
      </c>
      <c r="G24" s="548">
        <f>SUM(G19:G23)</f>
        <v>47</v>
      </c>
      <c r="H24" s="548">
        <f>SUM(H19:H23)</f>
        <v>219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21</v>
      </c>
      <c r="D25" s="46">
        <v>60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69</v>
      </c>
      <c r="D26" s="49">
        <f>SUM(D22:D25)</f>
        <v>88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6713</v>
      </c>
      <c r="D28" s="50">
        <f>D26+D19</f>
        <v>9618</v>
      </c>
      <c r="E28" s="127" t="s">
        <v>338</v>
      </c>
      <c r="F28" s="554" t="s">
        <v>339</v>
      </c>
      <c r="G28" s="548">
        <f>G13+G15+G24</f>
        <v>5890</v>
      </c>
      <c r="H28" s="548">
        <f>H13+H15+H24</f>
        <v>9273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823</v>
      </c>
      <c r="H30" s="53">
        <f>IF((D28-H28)&gt;0,D28-H28,0)</f>
        <v>345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6713</v>
      </c>
      <c r="D33" s="49">
        <f>D28+D31+D32</f>
        <v>9618</v>
      </c>
      <c r="E33" s="127" t="s">
        <v>352</v>
      </c>
      <c r="F33" s="554" t="s">
        <v>353</v>
      </c>
      <c r="G33" s="53">
        <f>G32+G31+G28</f>
        <v>5890</v>
      </c>
      <c r="H33" s="53">
        <f>H32+H31+H28</f>
        <v>9273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823</v>
      </c>
      <c r="H34" s="548">
        <f>IF((D33-H33)&gt;0,D33-H33,0)</f>
        <v>345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-72</v>
      </c>
      <c r="D35" s="49">
        <f>D36+D37+D38</f>
        <v>-27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-72</v>
      </c>
      <c r="D37" s="430">
        <v>-27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751</v>
      </c>
      <c r="H39" s="559">
        <f>IF(H34&gt;0,IF(D35+H34&lt;0,0,D35+H34),IF(D34-D35&lt;0,D35-D34,0))</f>
        <v>318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751</v>
      </c>
      <c r="H41" s="52">
        <f>IF(H39-H40&gt;0,H39-H40,0)</f>
        <v>318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6641</v>
      </c>
      <c r="D42" s="53">
        <f>D33+D35+D39</f>
        <v>9591</v>
      </c>
      <c r="E42" s="128" t="s">
        <v>379</v>
      </c>
      <c r="F42" s="129" t="s">
        <v>380</v>
      </c>
      <c r="G42" s="53">
        <f>G39+G33</f>
        <v>6641</v>
      </c>
      <c r="H42" s="53">
        <f>H39+H33</f>
        <v>9591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.75">
      <c r="A51" s="564"/>
      <c r="B51" s="560"/>
      <c r="C51" s="169" t="s">
        <v>868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3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7101</v>
      </c>
      <c r="D10" s="54">
        <v>9564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-4115</f>
        <v>-4115</v>
      </c>
      <c r="D11" s="54">
        <v>-6510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-2233</v>
      </c>
      <c r="D13" s="54">
        <v>-1979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-333</v>
      </c>
      <c r="D14" s="54">
        <v>-347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-14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417</v>
      </c>
      <c r="D20" s="55">
        <f>SUM(D10:D19)</f>
        <v>676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-179</v>
      </c>
      <c r="D22" s="54">
        <v>-915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41</v>
      </c>
      <c r="D23" s="54">
        <v>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-1000</v>
      </c>
      <c r="D24" s="54">
        <v>-1791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245</v>
      </c>
      <c r="D25" s="54">
        <v>1541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44</v>
      </c>
      <c r="D26" s="54">
        <v>20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350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-499</v>
      </c>
      <c r="D32" s="55">
        <f>SUM(D22:D31)</f>
        <v>-1139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1947</v>
      </c>
      <c r="D36" s="54">
        <v>2879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-1818</v>
      </c>
      <c r="D37" s="54">
        <v>-2419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-7</v>
      </c>
      <c r="D38" s="54">
        <v>-31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-44</v>
      </c>
      <c r="D39" s="54">
        <v>-10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-21</v>
      </c>
      <c r="D41" s="54">
        <v>-62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57</v>
      </c>
      <c r="D42" s="55">
        <f>SUM(D34:D41)</f>
        <v>357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-25</v>
      </c>
      <c r="D43" s="55">
        <f>D42+D32+D20</f>
        <v>-106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f>D46</f>
        <v>443</v>
      </c>
      <c r="D44" s="132">
        <v>549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418</v>
      </c>
      <c r="D45" s="55">
        <f>D44+D43</f>
        <v>443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418</v>
      </c>
      <c r="D46" s="56">
        <f>D45</f>
        <v>443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5">
      <c r="A51" s="318"/>
      <c r="B51" s="1" t="s">
        <v>867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3">
      <selection activeCell="A35" sqref="A35:J3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4" t="str">
        <f>'справка №1-БАЛАНС'!E3</f>
        <v>"Елпром ЗЕМ" АД</v>
      </c>
      <c r="C3" s="574"/>
      <c r="D3" s="574"/>
      <c r="E3" s="574"/>
      <c r="F3" s="574"/>
      <c r="G3" s="574"/>
      <c r="H3" s="574"/>
      <c r="I3" s="574"/>
      <c r="J3" s="476"/>
      <c r="K3" s="576" t="s">
        <v>2</v>
      </c>
      <c r="L3" s="576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2012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11358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4144</v>
      </c>
      <c r="I11" s="58">
        <f>'справка №1-БАЛАНС'!H28+'справка №1-БАЛАНС'!H31</f>
        <v>4023</v>
      </c>
      <c r="J11" s="58">
        <f>'справка №1-БАЛАНС'!H29+'справка №1-БАЛАНС'!H32</f>
        <v>-318</v>
      </c>
      <c r="K11" s="60"/>
      <c r="L11" s="344">
        <f>SUM(C11:K11)</f>
        <v>20541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11358</v>
      </c>
      <c r="F15" s="61">
        <f t="shared" si="2"/>
        <v>121</v>
      </c>
      <c r="G15" s="61">
        <f t="shared" si="2"/>
        <v>0</v>
      </c>
      <c r="H15" s="61">
        <f t="shared" si="2"/>
        <v>4144</v>
      </c>
      <c r="I15" s="61">
        <f t="shared" si="2"/>
        <v>4023</v>
      </c>
      <c r="J15" s="61">
        <f t="shared" si="2"/>
        <v>-318</v>
      </c>
      <c r="K15" s="61">
        <f t="shared" si="2"/>
        <v>0</v>
      </c>
      <c r="L15" s="344">
        <f t="shared" si="1"/>
        <v>20541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-751</v>
      </c>
      <c r="K16" s="60"/>
      <c r="L16" s="344">
        <f t="shared" si="1"/>
        <v>-751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-319</v>
      </c>
      <c r="I20" s="60">
        <v>1</v>
      </c>
      <c r="J20" s="60">
        <v>318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11358</v>
      </c>
      <c r="F29" s="59">
        <f t="shared" si="6"/>
        <v>121</v>
      </c>
      <c r="G29" s="59">
        <f t="shared" si="6"/>
        <v>0</v>
      </c>
      <c r="H29" s="59">
        <f t="shared" si="6"/>
        <v>3825</v>
      </c>
      <c r="I29" s="59">
        <f t="shared" si="6"/>
        <v>4024</v>
      </c>
      <c r="J29" s="59">
        <f t="shared" si="6"/>
        <v>-751</v>
      </c>
      <c r="K29" s="59">
        <f t="shared" si="6"/>
        <v>0</v>
      </c>
      <c r="L29" s="344">
        <f t="shared" si="1"/>
        <v>19790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11358</v>
      </c>
      <c r="F32" s="59">
        <f t="shared" si="7"/>
        <v>121</v>
      </c>
      <c r="G32" s="59">
        <f t="shared" si="7"/>
        <v>0</v>
      </c>
      <c r="H32" s="59">
        <f t="shared" si="7"/>
        <v>3825</v>
      </c>
      <c r="I32" s="59">
        <f t="shared" si="7"/>
        <v>4024</v>
      </c>
      <c r="J32" s="59">
        <f t="shared" si="7"/>
        <v>-751</v>
      </c>
      <c r="K32" s="59">
        <f t="shared" si="7"/>
        <v>0</v>
      </c>
      <c r="L32" s="344">
        <f t="shared" si="1"/>
        <v>19790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862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73" t="s">
        <v>521</v>
      </c>
      <c r="E38" s="573"/>
      <c r="F38" s="573"/>
      <c r="G38" s="573"/>
      <c r="H38" s="573"/>
      <c r="I38" s="573"/>
      <c r="J38" s="15" t="s">
        <v>857</v>
      </c>
      <c r="K38" s="15"/>
      <c r="L38" s="573"/>
      <c r="M38" s="573"/>
      <c r="N38" s="11"/>
    </row>
    <row r="39" spans="1:13" ht="15">
      <c r="A39" s="536"/>
      <c r="B39" s="537"/>
      <c r="C39" s="538"/>
      <c r="D39" s="538"/>
      <c r="E39" s="1" t="s">
        <v>867</v>
      </c>
      <c r="F39" s="538"/>
      <c r="G39" s="538"/>
      <c r="H39" s="538"/>
      <c r="I39" s="538"/>
      <c r="J39" s="538"/>
      <c r="K39" s="169" t="s">
        <v>868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H13" sqref="H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"Елпром ЗЕМ"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ОТЧЕТ 2012 Г.</v>
      </c>
      <c r="D3" s="608"/>
      <c r="E3" s="608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5" t="s">
        <v>529</v>
      </c>
      <c r="R5" s="595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6"/>
      <c r="R6" s="59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6707</v>
      </c>
      <c r="E10" s="189">
        <v>16</v>
      </c>
      <c r="F10" s="189"/>
      <c r="G10" s="74">
        <f aca="true" t="shared" si="2" ref="G10:G39">D10+E10-F10</f>
        <v>6723</v>
      </c>
      <c r="H10" s="65"/>
      <c r="I10" s="65"/>
      <c r="J10" s="74">
        <f aca="true" t="shared" si="3" ref="J10:J39">G10+H10-I10</f>
        <v>6723</v>
      </c>
      <c r="K10" s="65">
        <v>423</v>
      </c>
      <c r="L10" s="65">
        <v>185</v>
      </c>
      <c r="M10" s="65"/>
      <c r="N10" s="74">
        <f aca="true" t="shared" si="4" ref="N10:N39">K10+L10-M10</f>
        <v>608</v>
      </c>
      <c r="O10" s="65"/>
      <c r="P10" s="65"/>
      <c r="Q10" s="74">
        <f t="shared" si="0"/>
        <v>608</v>
      </c>
      <c r="R10" s="74">
        <f t="shared" si="1"/>
        <v>6115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4799</v>
      </c>
      <c r="E11" s="189">
        <v>182</v>
      </c>
      <c r="F11" s="189">
        <v>3</v>
      </c>
      <c r="G11" s="74">
        <f t="shared" si="2"/>
        <v>4978</v>
      </c>
      <c r="H11" s="65"/>
      <c r="I11" s="65"/>
      <c r="J11" s="74">
        <f t="shared" si="3"/>
        <v>4978</v>
      </c>
      <c r="K11" s="65">
        <v>2476</v>
      </c>
      <c r="L11" s="65">
        <v>279</v>
      </c>
      <c r="M11" s="65">
        <v>3</v>
      </c>
      <c r="N11" s="74">
        <f t="shared" si="4"/>
        <v>2752</v>
      </c>
      <c r="O11" s="65"/>
      <c r="P11" s="65"/>
      <c r="Q11" s="74">
        <f t="shared" si="0"/>
        <v>2752</v>
      </c>
      <c r="R11" s="74">
        <f t="shared" si="1"/>
        <v>2226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14</v>
      </c>
      <c r="L12" s="65">
        <v>9</v>
      </c>
      <c r="M12" s="65"/>
      <c r="N12" s="74">
        <f t="shared" si="4"/>
        <v>23</v>
      </c>
      <c r="O12" s="65"/>
      <c r="P12" s="65"/>
      <c r="Q12" s="74">
        <f t="shared" si="0"/>
        <v>23</v>
      </c>
      <c r="R12" s="74">
        <f t="shared" si="1"/>
        <v>195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290</v>
      </c>
      <c r="E13" s="189"/>
      <c r="F13" s="189"/>
      <c r="G13" s="74">
        <f t="shared" si="2"/>
        <v>290</v>
      </c>
      <c r="H13" s="65"/>
      <c r="I13" s="65"/>
      <c r="J13" s="74">
        <f t="shared" si="3"/>
        <v>290</v>
      </c>
      <c r="K13" s="65">
        <v>231</v>
      </c>
      <c r="L13" s="65">
        <v>32</v>
      </c>
      <c r="M13" s="65"/>
      <c r="N13" s="74">
        <f t="shared" si="4"/>
        <v>263</v>
      </c>
      <c r="O13" s="65"/>
      <c r="P13" s="65"/>
      <c r="Q13" s="74">
        <f t="shared" si="0"/>
        <v>263</v>
      </c>
      <c r="R13" s="74">
        <f t="shared" si="1"/>
        <v>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202</v>
      </c>
      <c r="E14" s="189">
        <v>19</v>
      </c>
      <c r="F14" s="189">
        <v>2</v>
      </c>
      <c r="G14" s="74">
        <f t="shared" si="2"/>
        <v>219</v>
      </c>
      <c r="H14" s="65"/>
      <c r="I14" s="65"/>
      <c r="J14" s="74">
        <f t="shared" si="3"/>
        <v>219</v>
      </c>
      <c r="K14" s="65">
        <v>108</v>
      </c>
      <c r="L14" s="65">
        <v>23</v>
      </c>
      <c r="M14" s="65">
        <v>2</v>
      </c>
      <c r="N14" s="74">
        <f t="shared" si="4"/>
        <v>129</v>
      </c>
      <c r="O14" s="65"/>
      <c r="P14" s="65"/>
      <c r="Q14" s="74">
        <f t="shared" si="0"/>
        <v>129</v>
      </c>
      <c r="R14" s="74">
        <f t="shared" si="1"/>
        <v>90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218</v>
      </c>
      <c r="F15" s="457">
        <v>216</v>
      </c>
      <c r="G15" s="74">
        <f t="shared" si="2"/>
        <v>122</v>
      </c>
      <c r="H15" s="458"/>
      <c r="I15" s="458"/>
      <c r="J15" s="74">
        <f t="shared" si="3"/>
        <v>122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22257</v>
      </c>
      <c r="E17" s="194">
        <f>SUM(E9:E16)</f>
        <v>435</v>
      </c>
      <c r="F17" s="194">
        <f>SUM(F9:F16)</f>
        <v>221</v>
      </c>
      <c r="G17" s="74">
        <f t="shared" si="2"/>
        <v>22471</v>
      </c>
      <c r="H17" s="75">
        <f>SUM(H9:H16)</f>
        <v>0</v>
      </c>
      <c r="I17" s="75">
        <f>SUM(I9:I16)</f>
        <v>0</v>
      </c>
      <c r="J17" s="74">
        <f t="shared" si="3"/>
        <v>22471</v>
      </c>
      <c r="K17" s="75">
        <f>SUM(K9:K16)</f>
        <v>3252</v>
      </c>
      <c r="L17" s="75">
        <f>SUM(L9:L16)</f>
        <v>528</v>
      </c>
      <c r="M17" s="75">
        <f>SUM(M9:M16)</f>
        <v>5</v>
      </c>
      <c r="N17" s="74">
        <f t="shared" si="4"/>
        <v>3775</v>
      </c>
      <c r="O17" s="75">
        <f>SUM(O9:O16)</f>
        <v>0</v>
      </c>
      <c r="P17" s="75">
        <f>SUM(P9:P16)</f>
        <v>0</v>
      </c>
      <c r="Q17" s="74">
        <f t="shared" si="5"/>
        <v>3775</v>
      </c>
      <c r="R17" s="74">
        <f t="shared" si="6"/>
        <v>18696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212</v>
      </c>
      <c r="L21" s="65">
        <v>24</v>
      </c>
      <c r="M21" s="65"/>
      <c r="N21" s="74">
        <f t="shared" si="4"/>
        <v>236</v>
      </c>
      <c r="O21" s="65"/>
      <c r="P21" s="65"/>
      <c r="Q21" s="74">
        <f t="shared" si="5"/>
        <v>236</v>
      </c>
      <c r="R21" s="74">
        <f t="shared" si="6"/>
        <v>10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/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51</v>
      </c>
      <c r="L22" s="65">
        <v>1</v>
      </c>
      <c r="M22" s="65"/>
      <c r="N22" s="74">
        <f t="shared" si="4"/>
        <v>52</v>
      </c>
      <c r="O22" s="65"/>
      <c r="P22" s="65"/>
      <c r="Q22" s="74">
        <f t="shared" si="5"/>
        <v>52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347</v>
      </c>
      <c r="L25" s="66">
        <f t="shared" si="7"/>
        <v>25</v>
      </c>
      <c r="M25" s="66">
        <f t="shared" si="7"/>
        <v>0</v>
      </c>
      <c r="N25" s="67">
        <f t="shared" si="4"/>
        <v>372</v>
      </c>
      <c r="O25" s="66">
        <f t="shared" si="7"/>
        <v>0</v>
      </c>
      <c r="P25" s="66">
        <f t="shared" si="7"/>
        <v>0</v>
      </c>
      <c r="Q25" s="67">
        <f t="shared" si="5"/>
        <v>372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22643</v>
      </c>
      <c r="E40" s="438">
        <f>E17+E18+E19+E25+E38+E39</f>
        <v>435</v>
      </c>
      <c r="F40" s="438">
        <f aca="true" t="shared" si="13" ref="F40:R40">F17+F18+F19+F25+F38+F39</f>
        <v>221</v>
      </c>
      <c r="G40" s="438">
        <f t="shared" si="13"/>
        <v>22857</v>
      </c>
      <c r="H40" s="438">
        <f t="shared" si="13"/>
        <v>0</v>
      </c>
      <c r="I40" s="438">
        <f t="shared" si="13"/>
        <v>0</v>
      </c>
      <c r="J40" s="438">
        <f t="shared" si="13"/>
        <v>22857</v>
      </c>
      <c r="K40" s="438">
        <f t="shared" si="13"/>
        <v>3599</v>
      </c>
      <c r="L40" s="438">
        <f t="shared" si="13"/>
        <v>553</v>
      </c>
      <c r="M40" s="438">
        <f t="shared" si="13"/>
        <v>5</v>
      </c>
      <c r="N40" s="438">
        <f t="shared" si="13"/>
        <v>4147</v>
      </c>
      <c r="O40" s="438">
        <f t="shared" si="13"/>
        <v>0</v>
      </c>
      <c r="P40" s="438">
        <f t="shared" si="13"/>
        <v>0</v>
      </c>
      <c r="Q40" s="438">
        <f t="shared" si="13"/>
        <v>4147</v>
      </c>
      <c r="R40" s="438">
        <f t="shared" si="13"/>
        <v>18710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3" t="s">
        <v>781</v>
      </c>
      <c r="P44" s="594"/>
      <c r="Q44" s="594"/>
      <c r="R44" s="594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867</v>
      </c>
      <c r="J45" s="349"/>
      <c r="K45" s="349"/>
      <c r="L45" s="349"/>
      <c r="M45" s="349"/>
      <c r="N45" s="349"/>
      <c r="O45" s="16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B76">
      <selection activeCell="F105" sqref="F10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"Елпром ЗЕМ"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2012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1843</v>
      </c>
      <c r="D24" s="119">
        <f>SUM(D25:D27)</f>
        <v>1843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1255</v>
      </c>
      <c r="D25" s="108">
        <f>C25</f>
        <v>1255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575</v>
      </c>
      <c r="D26" s="108">
        <f>C26</f>
        <v>575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</v>
      </c>
      <c r="D27" s="108">
        <f>C27</f>
        <v>13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486+720</f>
        <v>1206</v>
      </c>
      <c r="D28" s="108">
        <v>720</v>
      </c>
      <c r="E28" s="120">
        <f t="shared" si="0"/>
        <v>486</v>
      </c>
      <c r="F28" s="106"/>
    </row>
    <row r="29" spans="1:6" ht="12">
      <c r="A29" s="396" t="s">
        <v>650</v>
      </c>
      <c r="B29" s="397" t="s">
        <v>651</v>
      </c>
      <c r="C29" s="108">
        <v>7</v>
      </c>
      <c r="D29" s="108">
        <f>C29</f>
        <v>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47</v>
      </c>
      <c r="D38" s="105">
        <f>SUM(D39:D42)</f>
        <v>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47</v>
      </c>
      <c r="D42" s="108">
        <f>C42</f>
        <v>47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3164</v>
      </c>
      <c r="D43" s="104">
        <f>D24+D28+D29+D31+D30+D32+D33+D38</f>
        <v>2678</v>
      </c>
      <c r="E43" s="118">
        <f>E24+E28+E29+E31+E30+E32+E33+E38</f>
        <v>486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3164</v>
      </c>
      <c r="D44" s="103">
        <f>D43+D21+D19+D9</f>
        <v>2678</v>
      </c>
      <c r="E44" s="118">
        <f>E43+E21+E19+E9</f>
        <v>486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f>C54</f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67</v>
      </c>
      <c r="D56" s="103">
        <f>D57+D59</f>
        <v>0</v>
      </c>
      <c r="E56" s="119">
        <f t="shared" si="1"/>
        <v>67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67</v>
      </c>
      <c r="D57" s="108"/>
      <c r="E57" s="119">
        <f t="shared" si="1"/>
        <v>67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403</v>
      </c>
      <c r="D64" s="108"/>
      <c r="E64" s="119">
        <f t="shared" si="1"/>
        <v>403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470</v>
      </c>
      <c r="D66" s="103">
        <f>D52+D56+D61+D62+D63+D64</f>
        <v>0</v>
      </c>
      <c r="E66" s="119">
        <f t="shared" si="1"/>
        <v>470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1001</v>
      </c>
      <c r="D68" s="108"/>
      <c r="E68" s="119">
        <f t="shared" si="1"/>
        <v>1001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70</v>
      </c>
      <c r="D71" s="105">
        <f>SUM(D72:D74)</f>
        <v>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70</v>
      </c>
      <c r="D72" s="108">
        <f>C72</f>
        <v>70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>
        <f>C74</f>
        <v>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716</v>
      </c>
      <c r="D75" s="103">
        <f>D76+D78</f>
        <v>716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№1-БАЛАНС'!G59-C78</f>
        <v>710</v>
      </c>
      <c r="D76" s="108">
        <f>C76</f>
        <v>710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6</v>
      </c>
      <c r="D78" s="108">
        <f>C78</f>
        <v>6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1182</v>
      </c>
      <c r="D85" s="104">
        <f>SUM(D86:D90)+D94</f>
        <v>1182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520</v>
      </c>
      <c r="D87" s="108">
        <f>C87</f>
        <v>520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457</v>
      </c>
      <c r="D88" s="108">
        <f>C88</f>
        <v>457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125</v>
      </c>
      <c r="D89" s="108">
        <f>C89</f>
        <v>125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40</v>
      </c>
      <c r="D90" s="103">
        <f>SUM(D91:D93)</f>
        <v>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28</v>
      </c>
      <c r="D92" s="108">
        <f>C92</f>
        <v>28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12</v>
      </c>
      <c r="D93" s="108">
        <f>C93</f>
        <v>12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№1-БАЛАНС'!G68</f>
        <v>40</v>
      </c>
      <c r="D94" s="108">
        <f>C94</f>
        <v>40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32</v>
      </c>
      <c r="D95" s="108">
        <f>C95</f>
        <v>32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2000</v>
      </c>
      <c r="D96" s="104">
        <f>D85+D80+D75+D71+D95</f>
        <v>2000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3471</v>
      </c>
      <c r="D97" s="104">
        <f>D96+D68+D66</f>
        <v>2000</v>
      </c>
      <c r="E97" s="104">
        <f>E96+E68+E66</f>
        <v>1471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282</v>
      </c>
      <c r="D103" s="108"/>
      <c r="E103" s="108">
        <v>240</v>
      </c>
      <c r="F103" s="125">
        <f>C103+D103-E103</f>
        <v>42</v>
      </c>
    </row>
    <row r="104" spans="1:6" ht="12">
      <c r="A104" s="396" t="s">
        <v>775</v>
      </c>
      <c r="B104" s="397" t="s">
        <v>776</v>
      </c>
      <c r="C104" s="108">
        <v>31</v>
      </c>
      <c r="D104" s="108">
        <v>7</v>
      </c>
      <c r="E104" s="108">
        <v>18</v>
      </c>
      <c r="F104" s="125">
        <f>C104+D104-E104</f>
        <v>20</v>
      </c>
    </row>
    <row r="105" spans="1:16" ht="12">
      <c r="A105" s="412" t="s">
        <v>777</v>
      </c>
      <c r="B105" s="395" t="s">
        <v>778</v>
      </c>
      <c r="C105" s="103">
        <f>SUM(C102:C104)</f>
        <v>323</v>
      </c>
      <c r="D105" s="103">
        <f>SUM(D102:D104)</f>
        <v>7</v>
      </c>
      <c r="E105" s="103">
        <f>SUM(E102:E104)</f>
        <v>258</v>
      </c>
      <c r="F105" s="103">
        <f>SUM(F102:F104)</f>
        <v>72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875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867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F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"Елпром ЗЕМ"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2012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867</v>
      </c>
      <c r="E31" s="523"/>
      <c r="F31" s="523"/>
      <c r="G31" s="523"/>
      <c r="H31" s="169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112">
      <selection activeCell="D155" sqref="D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"Елпром ЗЕМ"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2012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867</v>
      </c>
      <c r="D152" s="517"/>
      <c r="E152" s="517"/>
      <c r="F152" s="517"/>
    </row>
    <row r="153" spans="1:6" ht="12.75">
      <c r="A153" s="517"/>
      <c r="B153" s="518"/>
      <c r="C153" s="626" t="s">
        <v>872</v>
      </c>
      <c r="D153" s="626"/>
      <c r="E153" s="626"/>
      <c r="F153" s="626"/>
    </row>
    <row r="154" spans="3:5" ht="12.75">
      <c r="C154" s="169" t="s">
        <v>868</v>
      </c>
      <c r="E154" s="517"/>
    </row>
    <row r="156" spans="1:3" ht="14.25">
      <c r="A156" s="509" t="s">
        <v>871</v>
      </c>
      <c r="C156" s="571" t="s">
        <v>869</v>
      </c>
    </row>
    <row r="157" ht="14.25">
      <c r="C157" s="571" t="s">
        <v>870</v>
      </c>
    </row>
    <row r="158" ht="12.75">
      <c r="C158" s="509" t="s">
        <v>878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2013-01-24T08:48:13Z</cp:lastPrinted>
  <dcterms:created xsi:type="dcterms:W3CDTF">2000-06-29T12:02:40Z</dcterms:created>
  <dcterms:modified xsi:type="dcterms:W3CDTF">2013-03-20T12:15:43Z</dcterms:modified>
  <cp:category/>
  <cp:version/>
  <cp:contentType/>
  <cp:contentStatus/>
</cp:coreProperties>
</file>