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<sst xmlns="http://schemas.openxmlformats.org/spreadsheetml/2006/main" count="1077" uniqueCount="877">
  <si>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</si>
  <si>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</si>
  <si>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</si>
  <si>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</si>
  <si>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</si>
  <si>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</si>
  <si>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</si>
  <si>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</si>
  <si>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</si>
  <si>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</si>
  <si>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</si>
  <si>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</si>
  <si>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</si>
  <si>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</si>
  <si>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</si>
  <si>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</si>
  <si>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</si>
  <si>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</si>
  <si>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</si>
  <si>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</si>
  <si>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</si>
  <si>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</si>
  <si>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</si>
  <si>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</si>
  <si>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</si>
  <si>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</si>
  <si>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</si>
  <si>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</si>
  <si>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</si>
  <si>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</si>
  <si>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</si>
  <si>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</si>
  <si>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</si>
  <si>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</si>
  <si>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</si>
  <si>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</si>
  <si>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</si>
  <si>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</si>
  <si>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</si>
  <si>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</si>
  <si>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</si>
  <si>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</si>
  <si>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</si>
  <si>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</si>
  <si>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</si>
  <si>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</si>
  <si>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</si>
  <si>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</si>
  <si>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</si>
  <si>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</si>
  <si>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</si>
  <si>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</si>
  <si>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</si>
  <si>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</si>
  <si>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</si>
  <si>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</si>
  <si>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</si>
  <si>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</si>
  <si>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</si>
  <si>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</si>
  <si>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</si>
  <si>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</si>
  <si>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</si>
  <si>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</si>
  <si>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</si>
  <si>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</si>
  <si>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</si>
  <si>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</si>
  <si>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</si>
  <si>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</si>
  <si>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</si>
  <si>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</si>
  <si>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</si>
  <si>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</si>
  <si>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</si>
  <si>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</si>
  <si>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</si>
  <si>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</si>
  <si>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</si>
  <si>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</si>
  <si>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</si>
  <si>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</si>
  <si>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</si>
  <si>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</si>
  <si>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</si>
  <si>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</si>
  <si>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</si>
  <si>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</si>
  <si>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</si>
  <si>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</si>
  <si>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</si>
  <si>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</si>
  <si>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</si>
  <si>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</si>
  <si>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</si>
  <si>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</si>
  <si>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</si>
  <si>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</si>
  <si>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</si>
  <si>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</si>
  <si>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</si>
  <si>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</si>
  <si>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</si>
  <si>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</si>
  <si>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</si>
  <si>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</si>
  <si>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</si>
  <si>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</si>
  <si>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</si>
  <si>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</si>
  <si>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</si>
  <si>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</si>
  <si>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</si>
  <si>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</si>
  <si>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</si>
  <si>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</si>
  <si>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</si>
  <si>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</si>
  <si>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</si>
  <si>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</si>
  <si>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</si>
  <si>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</si>
  <si>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</si>
  <si>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</si>
  <si>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</si>
  <si>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</si>
  <si>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</si>
  <si>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</si>
  <si>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</si>
  <si>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</si>
  <si>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</si>
  <si>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</si>
  <si>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</si>
  <si>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</si>
  <si>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</si>
  <si>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</si>
  <si>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</si>
  <si>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</si>
  <si>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</si>
  <si>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</si>
  <si>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</si>
  <si>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</si>
  <si>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</si>
  <si>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</si>
  <si>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</si>
  <si>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</si>
  <si>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</si>
  <si>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</si>
  <si>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</si>
  <si>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</si>
  <si>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</si>
  <si>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</si>
  <si>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</si>
  <si>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</si>
  <si>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</si>
  <si>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</si>
  <si>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</si>
  <si>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</si>
  <si>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</si>
  <si>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</si>
  <si>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</si>
  <si>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</si>
  <si>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</si>
  <si>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</si>
  <si>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</si>
  <si>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</si>
  <si>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</si>
  <si>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</si>
  <si>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</si>
  <si>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</si>
  <si>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</si>
  <si>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</si>
  <si>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</si>
  <si>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</si>
  <si>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</si>
  <si>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</si>
  <si>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</si>
  <si>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</si>
  <si>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</si>
  <si>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</si>
  <si>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</si>
  <si>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</si>
  <si>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</si>
  <si>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</si>
  <si>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</si>
  <si>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</si>
  <si>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</si>
  <si>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</si>
  <si>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</si>
  <si>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</si>
  <si>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</si>
  <si>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</si>
  <si>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</si>
  <si>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</si>
  <si>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</si>
  <si>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</si>
  <si>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</si>
  <si>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</si>
  <si>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</si>
  <si>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</si>
  <si>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</si>
  <si>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</si>
  <si>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</si>
  <si>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</si>
  <si>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</si>
  <si>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</si>
  <si>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</si>
  <si>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</si>
  <si>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</si>
  <si>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</si>
  <si>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</si>
  <si>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</si>
  <si>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</si>
  <si>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</si>
  <si>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</si>
  <si>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</si>
  <si>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</si>
  <si>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</si>
  <si>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</si>
  <si>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</si>
  <si>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</si>
  <si>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</si>
  <si>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</si>
  <si>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</si>
  <si>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</si>
  <si>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</si>
  <si>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</si>
  <si>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</si>
  <si>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</si>
  <si>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</si>
  <si>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</si>
  <si>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</si>
  <si>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</si>
  <si>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</si>
  <si>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</si>
  <si>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</si>
  <si>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</si>
  <si>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</si>
  <si>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</si>
  <si>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</si>
  <si>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</si>
  <si>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</si>
  <si>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</si>
  <si>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</si>
  <si>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</si>
  <si>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</si>
  <si>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</si>
  <si>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</si>
  <si>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</si>
  <si>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</si>
  <si>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</si>
  <si>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</si>
  <si>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</si>
  <si>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</si>
  <si>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</si>
  <si>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</si>
  <si>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</si>
  <si>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</si>
  <si>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</si>
  <si>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</si>
  <si>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</si>
  <si>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</si>
  <si>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</si>
  <si>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</si>
  <si>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</si>
  <si>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</si>
  <si>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</si>
  <si>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</si>
  <si>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</si>
  <si>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</si>
  <si>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</si>
  <si>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</si>
  <si>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</si>
  <si>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</si>
  <si>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</si>
  <si>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</si>
  <si>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</si>
  <si>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</si>
  <si>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</si>
  <si>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</si>
  <si>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</si>
  <si>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</si>
  <si>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</si>
  <si>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</si>
  <si>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</si>
  <si>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</si>
  <si>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</si>
  <si>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</si>
  <si>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</si>
  <si>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</si>
  <si>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</si>
  <si>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</si>
  <si>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</si>
  <si>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</si>
  <si>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</si>
  <si>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</si>
  <si>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</si>
  <si>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</si>
  <si>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</si>
  <si>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</si>
  <si>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</si>
  <si>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</si>
  <si>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</si>
  <si>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</si>
  <si>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</si>
  <si>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</si>
  <si>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</si>
  <si>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</si>
  <si>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</si>
  <si>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</si>
  <si>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</si>
  <si>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</si>
  <si>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</si>
  <si>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</si>
  <si>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</si>
  <si>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</si>
  <si>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</si>
  <si>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</si>
  <si>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</si>
  <si>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</si>
  <si>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</si>
  <si>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</si>
  <si>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</si>
  <si>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</si>
  <si>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</si>
  <si>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</si>
  <si>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</si>
  <si>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</si>
  <si>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</si>
  <si>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</si>
  <si>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</si>
  <si>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</si>
  <si>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</si>
  <si>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</si>
  <si>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</si>
  <si>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</si>
  <si>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</si>
  <si>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</si>
  <si>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</si>
  <si>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</si>
  <si>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</si>
  <si>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</si>
  <si>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</si>
  <si>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</si>
  <si>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</si>
  <si>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</si>
  <si>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</si>
  <si>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</si>
  <si>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</si>
  <si>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</si>
  <si>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</si>
  <si>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</si>
  <si>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</si>
  <si>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</si>
  <si>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</si>
  <si>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</si>
  <si>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</si>
  <si>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</si>
  <si>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</si>
  <si>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</si>
  <si>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</si>
  <si>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</si>
  <si>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</si>
  <si>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</si>
  <si>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</si>
  <si>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</si>
  <si>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</si>
  <si>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</si>
  <si>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</si>
  <si>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</si>
  <si>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</si>
  <si>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</si>
  <si>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</si>
  <si>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</si>
  <si>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</si>
  <si>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</si>
  <si>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</si>
  <si>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</si>
  <si>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</si>
  <si>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</si>
  <si>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</si>
  <si>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</si>
  <si>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</si>
  <si>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</si>
  <si>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</si>
  <si>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</si>
  <si>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</si>
  <si>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</si>
  <si>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</si>
  <si>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</si>
  <si>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</si>
  <si>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</si>
  <si>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</si>
  <si>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</si>
  <si>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</si>
  <si>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</si>
  <si>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</si>
  <si>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</si>
  <si>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</si>
  <si>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</si>
  <si>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</si>
  <si>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</si>
  <si>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</si>
  <si>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</si>
  <si>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</si>
  <si>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</si>
  <si>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</si>
  <si>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</si>
  <si>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</si>
  <si>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</si>
  <si>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</si>
  <si>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</si>
  <si>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</si>
  <si>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</si>
  <si>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</si>
  <si>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</si>
  <si>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</si>
  <si>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</si>
  <si>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</si>
  <si>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</si>
  <si>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</si>
  <si>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</si>
  <si>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</si>
  <si>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</si>
  <si>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</si>
  <si>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</si>
  <si>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</si>
  <si>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</si>
  <si>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</si>
  <si>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</si>
  <si>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</si>
  <si>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</si>
  <si>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</si>
  <si>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</si>
  <si>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</si>
  <si>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</si>
  <si>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</si>
  <si>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</si>
  <si>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</si>
  <si>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</si>
  <si>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</si>
  <si>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</si>
  <si>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</si>
  <si>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</si>
  <si>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</si>
  <si>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</si>
  <si>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</si>
  <si>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</si>
  <si>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</si>
  <si>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</si>
  <si>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</si>
  <si>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</si>
  <si>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</si>
  <si>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</si>
  <si>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</si>
  <si>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</si>
  <si>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</si>
  <si>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</si>
  <si>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</si>
  <si>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</si>
  <si>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</si>
  <si>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</si>
  <si>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</si>
  <si>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</si>
  <si>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</si>
  <si>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</si>
  <si>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</si>
  <si>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</si>
  <si>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</si>
  <si>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</si>
  <si>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</si>
  <si>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</si>
  <si>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</si>
  <si>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</si>
  <si>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</si>
  <si>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</si>
  <si>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</si>
  <si>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</si>
  <si>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</si>
  <si>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</si>
  <si>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</si>
  <si>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</si>
  <si>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</si>
  <si>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</si>
  <si>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</si>
  <si>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</si>
  <si>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</si>
  <si>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</si>
  <si>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</si>
  <si>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</si>
  <si>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</si>
  <si>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</si>
  <si>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</si>
  <si>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</si>
  <si>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</si>
  <si>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</si>
  <si>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</si>
  <si>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</si>
  <si>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</si>
  <si>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</si>
  <si>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</si>
  <si>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</si>
  <si>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</si>
  <si>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</si>
  <si>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</si>
  <si>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</si>
  <si>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</si>
  <si>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</si>
  <si>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</si>
  <si>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</si>
  <si>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</si>
  <si>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</si>
  <si>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</si>
  <si>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</si>
  <si>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</si>
  <si>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</si>
  <si>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</si>
  <si>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</si>
  <si>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</si>
  <si>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</si>
  <si>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</si>
  <si>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</si>
  <si>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</si>
  <si>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</si>
  <si>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</si>
  <si>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</si>
  <si>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</si>
  <si>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</si>
  <si>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</si>
  <si>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</si>
  <si>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</si>
  <si>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</si>
  <si>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</si>
  <si>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</si>
  <si>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</si>
  <si>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</si>
  <si>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</si>
  <si>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</si>
  <si>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</si>
  <si>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</si>
  <si>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</si>
  <si>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</si>
  <si>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</si>
  <si>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</si>
  <si>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</si>
  <si>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</si>
  <si>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</si>
  <si>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</si>
  <si>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</si>
  <si>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</si>
  <si>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</si>
  <si>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</si>
  <si>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</si>
  <si>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</si>
  <si>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</si>
  <si>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</si>
  <si>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</si>
  <si>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</si>
  <si>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</si>
  <si>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</si>
  <si>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</si>
  <si>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</si>
  <si>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</si>
  <si>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</si>
  <si>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</si>
  <si>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</si>
  <si>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</si>
  <si>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</si>
  <si>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</si>
  <si>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</si>
  <si>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</si>
  <si>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</si>
  <si>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</si>
  <si>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</si>
  <si>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</si>
  <si>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</si>
  <si>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</si>
  <si>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</si>
  <si>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</si>
  <si>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</si>
  <si>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</si>
  <si>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</si>
  <si>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</si>
  <si>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</si>
  <si>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</si>
  <si>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</si>
  <si>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</si>
  <si>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</si>
  <si>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</si>
  <si>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</si>
  <si>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</si>
  <si>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</si>
  <si>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</si>
  <si>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</si>
  <si>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</si>
  <si>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</si>
  <si>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</si>
  <si>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</si>
  <si>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</si>
  <si>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</si>
  <si>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</si>
  <si>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</si>
  <si>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</si>
  <si>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</si>
  <si>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</si>
  <si>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</si>
  <si>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</si>
  <si>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</si>
  <si>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</si>
  <si>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</si>
  <si>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</si>
  <si>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</si>
  <si>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</si>
  <si>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</si>
  <si>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</si>
  <si>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</si>
  <si>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</si>
  <si>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</si>
  <si>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</si>
  <si>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</si>
  <si>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</si>
  <si>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</si>
  <si>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</si>
  <si>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</si>
  <si>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</si>
  <si>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</si>
  <si>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</si>
  <si>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</si>
  <si>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</si>
  <si>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</si>
  <si>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</si>
  <si>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</si>
  <si>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</si>
  <si>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</si>
  <si>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</si>
  <si>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</si>
  <si>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</si>
  <si>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</si>
  <si>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</si>
  <si>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</si>
  <si>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</si>
  <si>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</si>
  <si>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</si>
  <si>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</si>
  <si>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</si>
  <si>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</si>
  <si>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</si>
  <si>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</si>
  <si>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</si>
  <si>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</si>
  <si>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</si>
  <si>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</si>
  <si>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</si>
  <si>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</si>
  <si>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</si>
  <si>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</si>
  <si>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</si>
  <si>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</si>
  <si>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</si>
  <si>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</si>
  <si>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</si>
  <si>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</si>
  <si>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</si>
  <si>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</si>
  <si>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</si>
  <si>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</si>
  <si>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</si>
  <si>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</si>
  <si>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</si>
  <si>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</si>
  <si>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</si>
  <si>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</si>
  <si>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</si>
  <si>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</si>
  <si>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</si>
  <si>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</si>
  <si>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</si>
  <si>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</si>
  <si>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</si>
  <si>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</si>
  <si>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</si>
  <si>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</si>
  <si>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</si>
  <si>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</si>
  <si>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</si>
  <si>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</si>
  <si>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</si>
  <si>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</si>
  <si>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</si>
  <si>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</si>
  <si>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</si>
  <si>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</si>
  <si>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</si>
  <si>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</si>
  <si>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</si>
  <si>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</si>
  <si>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</si>
  <si>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</si>
  <si>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</si>
  <si>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</si>
  <si>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</si>
  <si>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</si>
  <si>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</si>
  <si>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</si>
  <si>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</si>
  <si>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</si>
  <si>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</si>
  <si>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</si>
  <si>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</si>
  <si>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</si>
  <si>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</si>
  <si>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</si>
  <si>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</si>
  <si>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</si>
  <si>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</si>
  <si>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</si>
  <si>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</si>
  <si>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</si>
  <si>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</si>
  <si>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</si>
  <si>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</si>
  <si>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</si>
  <si>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</si>
  <si>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</si>
  <si>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</si>
  <si>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</si>
  <si>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</si>
  <si>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</si>
  <si>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</si>
  <si>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</si>
  <si>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</si>
  <si>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</si>
  <si>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</si>
  <si>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</si>
  <si>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</si>
  <si>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</si>
  <si>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</si>
  <si>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</si>
  <si>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</si>
  <si>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</si>
  <si>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</si>
  <si>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</si>
  <si>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</si>
  <si>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</si>
  <si>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</si>
  <si>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</si>
  <si>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</si>
  <si>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</si>
  <si>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</si>
  <si>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</si>
  <si>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</si>
  <si>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</si>
  <si>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</si>
  <si>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</si>
  <si>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</si>
  <si>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</si>
  <si>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</si>
  <si>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</si>
  <si>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</si>
  <si>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</si>
  <si>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</si>
  <si>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</si>
  <si>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</si>
  <si>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</si>
  <si>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</si>
  <si>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</si>
  <si>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</si>
  <si>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</si>
  <si>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</si>
  <si>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</si>
  <si>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</si>
  <si>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</si>
  <si>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</si>
  <si>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</si>
  <si>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</si>
  <si>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</si>
  <si>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</si>
  <si>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</si>
  <si>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</si>
  <si>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</si>
  <si>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</si>
  <si>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</si>
  <si>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</si>
  <si>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</si>
  <si>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</si>
  <si>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</si>
  <si>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</si>
  <si>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</si>
  <si>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</si>
  <si>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</si>
  <si>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</si>
  <si>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</si>
  <si>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</si>
  <si>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</si>
  <si>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</si>
  <si>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</si>
  <si>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</si>
  <si>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</si>
  <si>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</si>
  <si>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</si>
  <si>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</si>
  <si>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</si>
  <si>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</si>
  <si>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</si>
  <si>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</si>
  <si>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</si>
  <si>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</si>
  <si>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</si>
  <si>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</si>
  <si>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</si>
  <si>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</si>
  <si>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</si>
  <si>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</si>
  <si>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</si>
  <si>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</si>
  <si>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</si>
  <si>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</si>
  <si>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</si>
  <si>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</si>
  <si>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</si>
  <si>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</si>
  <si>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</si>
  <si>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</si>
  <si>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</si>
  <si>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</si>
  <si>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</si>
  <si>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</si>
  <si>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</si>
  <si>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</si>
  <si>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</si>
  <si>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</si>
  <si>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</si>
  <si>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</si>
  <si>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</si>
  <si>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</si>
  <si>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</si>
  <si>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</si>
  <si>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</si>
  <si>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</si>
  <si>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</si>
  <si>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</si>
  <si>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</si>
  <si>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</si>
  <si>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</si>
  <si>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</si>
  <si>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</si>
  <si>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</si>
  <si>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</si>
  <si>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</si>
  <si>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</si>
  <si>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</si>
  <si>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</si>
  <si>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</si>
  <si>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</si>
  <si>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</si>
  <si>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</si>
  <si>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</si>
  <si>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</si>
  <si>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</si>
  <si>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</si>
  <si>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</si>
  <si>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</si>
  <si>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</si>
  <si>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</si>
  <si>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1."МЕТЕКО" АД</t>
  </si>
  <si>
    <t>"Елпром ЗЕМ" АД</t>
  </si>
  <si>
    <t xml:space="preserve">Вид на отчета: консолидиран /неконсолидиран: </t>
  </si>
  <si>
    <t>неконсолидиран</t>
  </si>
  <si>
    <t>З. Минчева</t>
  </si>
  <si>
    <t>В. Филипов</t>
  </si>
  <si>
    <t xml:space="preserve">Дата на съставяне: 31.03.2013 г.      </t>
  </si>
  <si>
    <t xml:space="preserve">Дата на съставяне: 31.03.2013 г.     </t>
  </si>
  <si>
    <t>ОТЧЕТ ПЪРВО ТРИМЕСЕЧИЕ 2013 Г.</t>
  </si>
  <si>
    <t xml:space="preserve">Дата на съставяне:     31.03.2013 г.                              </t>
  </si>
  <si>
    <t>Дата на съставяне: 31.03.2013 г.</t>
  </si>
  <si>
    <t>31.03.2013 г.</t>
  </si>
  <si>
    <t xml:space="preserve">Дата  на съставяне: 31.03.2013 г.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</si>
</sst>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2"/>
      <name val="Times New Roman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2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6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9" fillId="0" borderId="0" xfId="30" applyFont="1" applyAlignment="1" applyProtection="1">
      <alignment horizontal="right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4ETI\2011\02\OPR_ZEM_02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r"/>
      <sheetName val="March"/>
      <sheetName val="April"/>
      <sheetName val="May"/>
      <sheetName val="June"/>
      <sheetName val="July"/>
      <sheetName val="Aug"/>
      <sheetName val="Sept-очаквано"/>
      <sheetName val="Sept"/>
      <sheetName val="Oct"/>
      <sheetName val="Nov"/>
      <sheetName val="Dec-очаквано"/>
      <sheetName val="Dec"/>
    </sheetNames>
    <sheetDataSet>
      <sheetData sheetId="2">
        <row r="39">
          <cell r="C3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43">
      <selection activeCell="G28" sqref="G28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865</v>
      </c>
      <c r="F3" s="217" t="s">
        <v>2</v>
      </c>
      <c r="G3" s="172"/>
      <c r="H3" s="461">
        <v>620115</v>
      </c>
    </row>
    <row r="4" spans="1:8" ht="15">
      <c r="A4" s="576" t="s">
        <v>866</v>
      </c>
      <c r="B4" s="582"/>
      <c r="C4" s="582"/>
      <c r="D4" s="582"/>
      <c r="E4" s="504" t="s">
        <v>867</v>
      </c>
      <c r="F4" s="578" t="s">
        <v>3</v>
      </c>
      <c r="G4" s="579"/>
      <c r="H4" s="461">
        <v>275</v>
      </c>
    </row>
    <row r="5" spans="1:8" ht="15">
      <c r="A5" s="576" t="s">
        <v>4</v>
      </c>
      <c r="B5" s="577"/>
      <c r="C5" s="577"/>
      <c r="D5" s="577"/>
      <c r="E5" s="505" t="s">
        <v>872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f>'справка №5'!R9</f>
        <v>9921</v>
      </c>
      <c r="D11" s="151">
        <v>9921</v>
      </c>
      <c r="E11" s="237" t="s">
        <v>21</v>
      </c>
      <c r="F11" s="242" t="s">
        <v>22</v>
      </c>
      <c r="G11" s="152">
        <v>1213</v>
      </c>
      <c r="H11" s="152">
        <v>1213</v>
      </c>
    </row>
    <row r="12" spans="1:8" ht="15">
      <c r="A12" s="235" t="s">
        <v>23</v>
      </c>
      <c r="B12" s="241" t="s">
        <v>24</v>
      </c>
      <c r="C12" s="151">
        <f>'справка №5'!R10</f>
        <v>6069</v>
      </c>
      <c r="D12" s="151">
        <f>'справка №5'!D10-'справка №5'!K10</f>
        <v>6115</v>
      </c>
      <c r="E12" s="237" t="s">
        <v>25</v>
      </c>
      <c r="F12" s="242" t="s">
        <v>26</v>
      </c>
      <c r="G12" s="153">
        <v>1213</v>
      </c>
      <c r="H12" s="153">
        <v>1213</v>
      </c>
    </row>
    <row r="13" spans="1:8" ht="15">
      <c r="A13" s="235" t="s">
        <v>27</v>
      </c>
      <c r="B13" s="241" t="s">
        <v>28</v>
      </c>
      <c r="C13" s="151">
        <f>'справка №5'!R11</f>
        <v>2168</v>
      </c>
      <c r="D13" s="151">
        <f>'справка №5'!D11-'справка №5'!K11</f>
        <v>2226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f>'справка №5'!R12</f>
        <v>193</v>
      </c>
      <c r="D14" s="151">
        <f>'справка №5'!D12-'справка №5'!K12</f>
        <v>195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f>'справка №5'!R13</f>
        <v>24</v>
      </c>
      <c r="D15" s="151">
        <f>'справка №5'!D13-'справка №5'!K13</f>
        <v>27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f>'справка №5'!R14</f>
        <v>93</v>
      </c>
      <c r="D16" s="151">
        <f>'справка №5'!D14-'справка №5'!K14</f>
        <v>90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f>'справка №5'!R15</f>
        <v>119</v>
      </c>
      <c r="D17" s="151">
        <f>'справка №5'!D15</f>
        <v>122</v>
      </c>
      <c r="E17" s="243" t="s">
        <v>45</v>
      </c>
      <c r="F17" s="245" t="s">
        <v>46</v>
      </c>
      <c r="G17" s="154">
        <f>G11+G14+G15+G16</f>
        <v>1213</v>
      </c>
      <c r="H17" s="154">
        <f>H11+H14+H15+H16</f>
        <v>1213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18587</v>
      </c>
      <c r="D19" s="155">
        <f>SUM(D11:D18)</f>
        <v>18696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>
        <f>'справка №4-ОСК'!E32</f>
        <v>11358</v>
      </c>
      <c r="H20" s="158">
        <v>11358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3946</v>
      </c>
      <c r="H21" s="156">
        <f>SUM(H22:H24)</f>
        <v>3946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f>'справка №4-ОСК'!F32</f>
        <v>121</v>
      </c>
      <c r="H22" s="152">
        <v>121</v>
      </c>
    </row>
    <row r="23" spans="1:13" ht="15">
      <c r="A23" s="235" t="s">
        <v>65</v>
      </c>
      <c r="B23" s="241" t="s">
        <v>66</v>
      </c>
      <c r="C23" s="151">
        <f>'справка №5'!R21</f>
        <v>4</v>
      </c>
      <c r="D23" s="151">
        <f>'справка №5'!D21-'справка №5'!K21</f>
        <v>10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f>'справка №5'!R22</f>
        <v>0</v>
      </c>
      <c r="D24" s="151">
        <f>'справка №5'!D22-'справка №5'!K22</f>
        <v>0</v>
      </c>
      <c r="E24" s="237" t="s">
        <v>71</v>
      </c>
      <c r="F24" s="242" t="s">
        <v>72</v>
      </c>
      <c r="G24" s="152">
        <f>'справка №4-ОСК'!H32</f>
        <v>3825</v>
      </c>
      <c r="H24" s="152">
        <v>3825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15304</v>
      </c>
      <c r="H25" s="154">
        <f>H19+H20+H21</f>
        <v>15304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4</v>
      </c>
      <c r="D27" s="155">
        <f>SUM(D23:D26)</f>
        <v>10</v>
      </c>
      <c r="E27" s="253" t="s">
        <v>82</v>
      </c>
      <c r="F27" s="242" t="s">
        <v>83</v>
      </c>
      <c r="G27" s="154">
        <f>SUM(G28:G30)</f>
        <v>3273</v>
      </c>
      <c r="H27" s="154">
        <f>SUM(H28:H30)</f>
        <v>4024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f>'справка №4-ОСК'!I32</f>
        <v>3273</v>
      </c>
      <c r="H28" s="152">
        <v>4024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-271</v>
      </c>
      <c r="H32" s="316">
        <v>-751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3002</v>
      </c>
      <c r="H33" s="154">
        <f>H27+H31+H32</f>
        <v>3273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104</v>
      </c>
      <c r="C34" s="155">
        <f>SUM(C35:C38)</f>
        <v>4</v>
      </c>
      <c r="D34" s="155">
        <f>SUM(D35:D38)</f>
        <v>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19519</v>
      </c>
      <c r="H36" s="154">
        <f>H25+H17+H33</f>
        <v>19790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f>'справка №5'!R31</f>
        <v>4</v>
      </c>
      <c r="D38" s="151">
        <f>'справка №5'!D31</f>
        <v>4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f>'справка №6'!C57</f>
        <v>24</v>
      </c>
      <c r="H44" s="152">
        <v>67</v>
      </c>
    </row>
    <row r="45" spans="1:15" ht="15">
      <c r="A45" s="235" t="s">
        <v>135</v>
      </c>
      <c r="B45" s="249" t="s">
        <v>136</v>
      </c>
      <c r="C45" s="155">
        <f>C34+C39+C44</f>
        <v>4</v>
      </c>
      <c r="D45" s="155">
        <f>D34+D39+D44</f>
        <v>4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>
        <f>'справка №6'!C65</f>
        <v>0</v>
      </c>
      <c r="H48" s="152">
        <v>64</v>
      </c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24</v>
      </c>
      <c r="H49" s="154">
        <f>SUM(H43:H48)</f>
        <v>131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>
        <v>486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486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f>'справка №6'!C68</f>
        <v>1001</v>
      </c>
      <c r="H53" s="152">
        <v>1001</v>
      </c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>
        <f>'справка №6'!C64-'справка №6'!D64</f>
        <v>383</v>
      </c>
      <c r="H54" s="152">
        <v>383</v>
      </c>
    </row>
    <row r="55" spans="1:18" ht="25.5">
      <c r="A55" s="269" t="s">
        <v>169</v>
      </c>
      <c r="B55" s="270" t="s">
        <v>170</v>
      </c>
      <c r="C55" s="155">
        <f>C19+C20+C21+C27+C32+C45+C51+C53+C54</f>
        <v>18595</v>
      </c>
      <c r="D55" s="155">
        <f>D19+D20+D21+D27+D32+D45+D51+D53+D54</f>
        <v>19196</v>
      </c>
      <c r="E55" s="237" t="s">
        <v>171</v>
      </c>
      <c r="F55" s="261" t="s">
        <v>172</v>
      </c>
      <c r="G55" s="154">
        <f>G49+G51+G52+G53+G54</f>
        <v>1408</v>
      </c>
      <c r="H55" s="154">
        <f>H49+H51+H52+H53+H54</f>
        <v>1515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855</v>
      </c>
      <c r="D58" s="151">
        <v>769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23</v>
      </c>
      <c r="D59" s="151">
        <v>137</v>
      </c>
      <c r="E59" s="251" t="s">
        <v>180</v>
      </c>
      <c r="F59" s="242" t="s">
        <v>181</v>
      </c>
      <c r="G59" s="152">
        <f>'справка №6'!C75</f>
        <v>192</v>
      </c>
      <c r="H59" s="152">
        <v>716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>
        <v>672</v>
      </c>
      <c r="D61" s="151">
        <v>108</v>
      </c>
      <c r="E61" s="243" t="s">
        <v>188</v>
      </c>
      <c r="F61" s="272" t="s">
        <v>189</v>
      </c>
      <c r="G61" s="154">
        <f>SUM(G62:G68)</f>
        <v>1469</v>
      </c>
      <c r="H61" s="154">
        <f>SUM(H62:H68)</f>
        <v>1252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f>'справка №6'!C71</f>
        <v>44</v>
      </c>
      <c r="H62" s="152">
        <v>70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1550</v>
      </c>
      <c r="D64" s="155">
        <f>SUM(D58:D63)</f>
        <v>1014</v>
      </c>
      <c r="E64" s="237" t="s">
        <v>199</v>
      </c>
      <c r="F64" s="242" t="s">
        <v>200</v>
      </c>
      <c r="G64" s="152">
        <f>'справка №6'!C87</f>
        <v>452</v>
      </c>
      <c r="H64" s="152">
        <v>520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f>'справка №6'!C88</f>
        <v>701</v>
      </c>
      <c r="H65" s="152">
        <v>457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f>'справка №6'!C89</f>
        <v>107</v>
      </c>
      <c r="H66" s="152">
        <v>125</v>
      </c>
    </row>
    <row r="67" spans="1:8" ht="15">
      <c r="A67" s="235" t="s">
        <v>206</v>
      </c>
      <c r="B67" s="241" t="s">
        <v>207</v>
      </c>
      <c r="C67" s="151">
        <f>'справка №6'!C24</f>
        <v>1354</v>
      </c>
      <c r="D67" s="151">
        <v>1843</v>
      </c>
      <c r="E67" s="237" t="s">
        <v>208</v>
      </c>
      <c r="F67" s="242" t="s">
        <v>209</v>
      </c>
      <c r="G67" s="152">
        <f>'справка №6'!C94</f>
        <v>46</v>
      </c>
      <c r="H67" s="152">
        <v>40</v>
      </c>
    </row>
    <row r="68" spans="1:8" ht="15">
      <c r="A68" s="235" t="s">
        <v>210</v>
      </c>
      <c r="B68" s="241" t="s">
        <v>211</v>
      </c>
      <c r="C68" s="151">
        <f>'справка №6'!C28</f>
        <v>824</v>
      </c>
      <c r="D68" s="151">
        <v>720</v>
      </c>
      <c r="E68" s="237" t="s">
        <v>212</v>
      </c>
      <c r="F68" s="242" t="s">
        <v>213</v>
      </c>
      <c r="G68" s="152">
        <f>'справка №6'!C90</f>
        <v>119</v>
      </c>
      <c r="H68" s="152">
        <v>40</v>
      </c>
    </row>
    <row r="69" spans="1:8" ht="15">
      <c r="A69" s="235" t="s">
        <v>214</v>
      </c>
      <c r="B69" s="241" t="s">
        <v>215</v>
      </c>
      <c r="C69" s="151">
        <f>'справка №6'!C29</f>
        <v>23</v>
      </c>
      <c r="D69" s="151">
        <v>7</v>
      </c>
      <c r="E69" s="251" t="s">
        <v>77</v>
      </c>
      <c r="F69" s="242" t="s">
        <v>216</v>
      </c>
      <c r="G69" s="152">
        <f>'справка №6'!C95</f>
        <v>7</v>
      </c>
      <c r="H69" s="152">
        <v>32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f>'справка №6'!F105</f>
        <v>67</v>
      </c>
      <c r="H70" s="152">
        <v>8</v>
      </c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1735</v>
      </c>
      <c r="H71" s="161">
        <f>H59+H60+H61+H69+H70</f>
        <v>2008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f>'справка №6'!C33</f>
        <v>61</v>
      </c>
      <c r="D72" s="151">
        <v>61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f>'справка №6'!C42</f>
        <v>34</v>
      </c>
      <c r="D74" s="151">
        <v>47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2296</v>
      </c>
      <c r="D75" s="155">
        <f>SUM(D67:D74)</f>
        <v>2678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>
        <f>'справка №6'!D64</f>
        <v>24</v>
      </c>
      <c r="H76" s="152">
        <v>24</v>
      </c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1759</v>
      </c>
      <c r="H79" s="162">
        <f>H71+H74+H75+H76</f>
        <v>2032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14</v>
      </c>
      <c r="D87" s="151">
        <v>15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122</v>
      </c>
      <c r="D88" s="151">
        <v>403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136</v>
      </c>
      <c r="D91" s="155">
        <f>SUM(D87:D90)</f>
        <v>418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109</v>
      </c>
      <c r="D92" s="151">
        <v>31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4091</v>
      </c>
      <c r="D93" s="155">
        <f>D64+D75+D84+D91+D92</f>
        <v>4141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22686</v>
      </c>
      <c r="D94" s="164">
        <f>D93+D55</f>
        <v>23337</v>
      </c>
      <c r="E94" s="449" t="s">
        <v>269</v>
      </c>
      <c r="F94" s="289" t="s">
        <v>270</v>
      </c>
      <c r="G94" s="165">
        <f>G36+G39+G55+G79</f>
        <v>22686</v>
      </c>
      <c r="H94" s="165">
        <f>H36+H39+H55+H79</f>
        <v>23337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874</v>
      </c>
      <c r="B98" s="432"/>
      <c r="C98" s="580" t="s">
        <v>272</v>
      </c>
      <c r="D98" s="580"/>
      <c r="E98" s="580"/>
      <c r="F98" s="170"/>
      <c r="G98" s="171"/>
      <c r="H98" s="172"/>
      <c r="M98" s="157"/>
    </row>
    <row r="99" spans="3:8" ht="15">
      <c r="C99" s="45"/>
      <c r="D99" s="1" t="s">
        <v>868</v>
      </c>
      <c r="E99" s="45"/>
      <c r="F99" s="170"/>
      <c r="G99" s="171"/>
      <c r="H99" s="172"/>
    </row>
    <row r="100" spans="1:5" ht="15">
      <c r="A100" s="173"/>
      <c r="B100" s="173"/>
      <c r="C100" s="580" t="s">
        <v>856</v>
      </c>
      <c r="D100" s="581"/>
      <c r="E100" s="581"/>
    </row>
    <row r="101" ht="12.75">
      <c r="D101" s="169" t="s">
        <v>869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300" verticalDpi="300" orientation="landscape" paperSize="9" scale="6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workbookViewId="0" topLeftCell="A1">
      <selection activeCell="N39" sqref="N3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"Елпром ЗЕМ" АД</v>
      </c>
      <c r="C2" s="585"/>
      <c r="D2" s="585"/>
      <c r="E2" s="585"/>
      <c r="F2" s="587" t="s">
        <v>2</v>
      </c>
      <c r="G2" s="587"/>
      <c r="H2" s="526">
        <f>'справка №1-БАЛАНС'!H3</f>
        <v>620115</v>
      </c>
    </row>
    <row r="3" spans="1:8" ht="15">
      <c r="A3" s="467" t="s">
        <v>274</v>
      </c>
      <c r="B3" s="585" t="str">
        <f>'справка №1-БАЛАНС'!E4</f>
        <v>неконсолидиран</v>
      </c>
      <c r="C3" s="585"/>
      <c r="D3" s="585"/>
      <c r="E3" s="585"/>
      <c r="F3" s="546" t="s">
        <v>3</v>
      </c>
      <c r="G3" s="527"/>
      <c r="H3" s="527">
        <f>'справка №1-БАЛАНС'!H4</f>
        <v>275</v>
      </c>
    </row>
    <row r="4" spans="1:8" ht="17.25" customHeight="1">
      <c r="A4" s="467" t="s">
        <v>4</v>
      </c>
      <c r="B4" s="586" t="str">
        <f>'справка №1-БАЛАНС'!E5</f>
        <v>ОТЧЕТ ПЪРВО ТРИМЕСЕЧИЕ 2013 Г.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582</v>
      </c>
      <c r="D9" s="46">
        <v>239</v>
      </c>
      <c r="E9" s="298" t="s">
        <v>284</v>
      </c>
      <c r="F9" s="549" t="s">
        <v>285</v>
      </c>
      <c r="G9" s="550">
        <v>468</v>
      </c>
      <c r="H9" s="550">
        <v>213</v>
      </c>
    </row>
    <row r="10" spans="1:8" ht="12">
      <c r="A10" s="298" t="s">
        <v>286</v>
      </c>
      <c r="B10" s="299" t="s">
        <v>287</v>
      </c>
      <c r="C10" s="46">
        <v>96</v>
      </c>
      <c r="D10" s="46">
        <v>164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131</v>
      </c>
      <c r="D11" s="46">
        <v>169</v>
      </c>
      <c r="E11" s="300" t="s">
        <v>292</v>
      </c>
      <c r="F11" s="549" t="s">
        <v>293</v>
      </c>
      <c r="G11" s="550">
        <v>91</v>
      </c>
      <c r="H11" s="550">
        <v>364</v>
      </c>
    </row>
    <row r="12" spans="1:8" ht="12">
      <c r="A12" s="298" t="s">
        <v>294</v>
      </c>
      <c r="B12" s="299" t="s">
        <v>295</v>
      </c>
      <c r="C12" s="46">
        <v>445</v>
      </c>
      <c r="D12" s="46">
        <v>485</v>
      </c>
      <c r="E12" s="300" t="s">
        <v>77</v>
      </c>
      <c r="F12" s="549" t="s">
        <v>296</v>
      </c>
      <c r="G12" s="550">
        <v>108</v>
      </c>
      <c r="H12" s="550">
        <v>141</v>
      </c>
    </row>
    <row r="13" spans="1:18" ht="12">
      <c r="A13" s="298" t="s">
        <v>297</v>
      </c>
      <c r="B13" s="299" t="s">
        <v>298</v>
      </c>
      <c r="C13" s="46">
        <v>73</v>
      </c>
      <c r="D13" s="46">
        <v>90</v>
      </c>
      <c r="E13" s="301" t="s">
        <v>50</v>
      </c>
      <c r="F13" s="551" t="s">
        <v>299</v>
      </c>
      <c r="G13" s="548">
        <f>SUM(G9:G12)</f>
        <v>667</v>
      </c>
      <c r="H13" s="548">
        <f>SUM(H9:H12)</f>
        <v>718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</v>
      </c>
      <c r="D14" s="46">
        <v>83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-450</v>
      </c>
      <c r="D15" s="47">
        <v>-488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68</v>
      </c>
      <c r="D16" s="47">
        <f>90-27</f>
        <v>63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946</v>
      </c>
      <c r="D19" s="49">
        <f>SUM(D9:D15)+D16</f>
        <v>805</v>
      </c>
      <c r="E19" s="304" t="s">
        <v>316</v>
      </c>
      <c r="F19" s="552" t="s">
        <v>317</v>
      </c>
      <c r="G19" s="550">
        <v>16</v>
      </c>
      <c r="H19" s="550">
        <v>8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6</v>
      </c>
      <c r="D22" s="46">
        <v>13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>
        <f>'[1]March'!$C$39</f>
        <v>1</v>
      </c>
      <c r="E24" s="301" t="s">
        <v>102</v>
      </c>
      <c r="F24" s="554" t="s">
        <v>333</v>
      </c>
      <c r="G24" s="548">
        <f>SUM(G19:G23)</f>
        <v>16</v>
      </c>
      <c r="H24" s="548">
        <f>SUM(H19:H23)</f>
        <v>8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2</v>
      </c>
      <c r="D25" s="46">
        <v>2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8</v>
      </c>
      <c r="D26" s="49">
        <f>SUM(D22:D25)</f>
        <v>16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954</v>
      </c>
      <c r="D28" s="50">
        <f>D26+D19</f>
        <v>821</v>
      </c>
      <c r="E28" s="127" t="s">
        <v>338</v>
      </c>
      <c r="F28" s="554" t="s">
        <v>339</v>
      </c>
      <c r="G28" s="548">
        <f>G13+G15+G24</f>
        <v>683</v>
      </c>
      <c r="H28" s="548">
        <f>H13+H15+H24</f>
        <v>726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271</v>
      </c>
      <c r="H30" s="53">
        <f>IF((D28-H28)&gt;0,D28-H28,0)</f>
        <v>95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954</v>
      </c>
      <c r="D33" s="49">
        <f>D28+D31+D32</f>
        <v>821</v>
      </c>
      <c r="E33" s="127" t="s">
        <v>352</v>
      </c>
      <c r="F33" s="554" t="s">
        <v>353</v>
      </c>
      <c r="G33" s="53">
        <f>G32+G31+G28</f>
        <v>683</v>
      </c>
      <c r="H33" s="53">
        <f>H32+H31+H28</f>
        <v>726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271</v>
      </c>
      <c r="H34" s="548">
        <f>IF((D33-H33)&gt;0,D33-H33,0)</f>
        <v>95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271</v>
      </c>
      <c r="H39" s="559">
        <f>IF(H34&gt;0,IF(D35+H34&lt;0,0,D35+H34),IF(D34-D35&lt;0,D35-D34,0))</f>
        <v>95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IF(C39-C40&gt;0,C39-C40,0)</f>
        <v>0</v>
      </c>
      <c r="D41" s="52">
        <f>IF(D39-D40&gt;0,D39-D40,0)</f>
        <v>0</v>
      </c>
      <c r="E41" s="127" t="s">
        <v>375</v>
      </c>
      <c r="F41" s="558" t="s">
        <v>376</v>
      </c>
      <c r="G41" s="52">
        <f>IF(G39-G40&gt;0,G39-G40,0)</f>
        <v>271</v>
      </c>
      <c r="H41" s="52">
        <f>IF(H39-H40&gt;0,H39-H40,0)</f>
        <v>95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954</v>
      </c>
      <c r="D42" s="53">
        <f>D33+D35+D39</f>
        <v>821</v>
      </c>
      <c r="E42" s="128" t="s">
        <v>379</v>
      </c>
      <c r="F42" s="129" t="s">
        <v>380</v>
      </c>
      <c r="G42" s="53">
        <f>G39+G33</f>
        <v>954</v>
      </c>
      <c r="H42" s="53">
        <f>H39+H33</f>
        <v>821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862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875</v>
      </c>
      <c r="C48" s="427" t="s">
        <v>381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5">
      <c r="A49" s="561"/>
      <c r="B49" s="562"/>
      <c r="C49" s="1" t="s">
        <v>868</v>
      </c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4"/>
      <c r="E50" s="584"/>
      <c r="F50" s="584"/>
      <c r="G50" s="584"/>
      <c r="H50" s="584"/>
    </row>
    <row r="51" spans="1:8" ht="12.75">
      <c r="A51" s="564"/>
      <c r="B51" s="560"/>
      <c r="C51" s="169" t="s">
        <v>869</v>
      </c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zoomScale="80" zoomScaleNormal="80" workbookViewId="0" topLeftCell="A19">
      <selection activeCell="A14" sqref="A14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"Елпром ЗЕМ" АД</v>
      </c>
      <c r="C4" s="541" t="s">
        <v>2</v>
      </c>
      <c r="D4" s="541">
        <f>'справка №1-БАЛАНС'!H3</f>
        <v>620115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3</v>
      </c>
      <c r="D5" s="541">
        <f>'справка №1-БАЛАНС'!H4</f>
        <v>275</v>
      </c>
    </row>
    <row r="6" spans="1:6" ht="12" customHeight="1">
      <c r="A6" s="471" t="s">
        <v>4</v>
      </c>
      <c r="B6" s="506" t="str">
        <f>'справка №1-БАЛАНС'!E5</f>
        <v>ОТЧЕТ ПЪРВО ТРИМЕСЕЧИЕ 2013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1907</v>
      </c>
      <c r="D10" s="54">
        <v>1024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-1044</v>
      </c>
      <c r="D11" s="54">
        <v>-1055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-522</v>
      </c>
      <c r="D13" s="54">
        <v>-600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-45</v>
      </c>
      <c r="D14" s="54">
        <v>346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-4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3</v>
      </c>
      <c r="D19" s="54">
        <v>-22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295</v>
      </c>
      <c r="D20" s="55">
        <f>SUM(D10:D19)</f>
        <v>-308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-43</v>
      </c>
      <c r="D22" s="54">
        <v>-26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13</v>
      </c>
      <c r="D23" s="54">
        <v>49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>
        <v>23</v>
      </c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-7</v>
      </c>
      <c r="D32" s="55">
        <f>SUM(D22:D31)</f>
        <v>23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70</v>
      </c>
      <c r="D36" s="54">
        <v>349</v>
      </c>
      <c r="E36" s="130"/>
      <c r="F36" s="130"/>
    </row>
    <row r="37" spans="1:6" ht="12">
      <c r="A37" s="332" t="s">
        <v>437</v>
      </c>
      <c r="B37" s="333" t="s">
        <v>438</v>
      </c>
      <c r="C37" s="54">
        <v>-636</v>
      </c>
      <c r="D37" s="54">
        <v>-365</v>
      </c>
      <c r="E37" s="130"/>
      <c r="F37" s="130"/>
    </row>
    <row r="38" spans="1:6" ht="12">
      <c r="A38" s="332" t="s">
        <v>439</v>
      </c>
      <c r="B38" s="333" t="s">
        <v>440</v>
      </c>
      <c r="C38" s="54">
        <v>-1</v>
      </c>
      <c r="D38" s="54">
        <v>-1</v>
      </c>
      <c r="E38" s="130"/>
      <c r="F38" s="130"/>
    </row>
    <row r="39" spans="1:6" ht="12">
      <c r="A39" s="332" t="s">
        <v>441</v>
      </c>
      <c r="B39" s="333" t="s">
        <v>442</v>
      </c>
      <c r="C39" s="54">
        <v>-3</v>
      </c>
      <c r="D39" s="54">
        <v>-12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>
        <v>-4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-570</v>
      </c>
      <c r="D42" s="55">
        <f>SUM(D34:D41)</f>
        <v>-33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-282</v>
      </c>
      <c r="D43" s="55">
        <f>D42+D32+D20</f>
        <v>-318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418</v>
      </c>
      <c r="D44" s="132">
        <v>443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136</v>
      </c>
      <c r="D45" s="55">
        <f>D44+D43</f>
        <v>125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f>C45</f>
        <v>136</v>
      </c>
      <c r="D46" s="56">
        <f>D45</f>
        <v>125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9"/>
      <c r="D50" s="589"/>
      <c r="G50" s="133"/>
      <c r="H50" s="133"/>
    </row>
    <row r="51" spans="1:8" ht="15">
      <c r="A51" s="318"/>
      <c r="B51" s="1" t="s">
        <v>868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89"/>
      <c r="D52" s="589"/>
      <c r="G52" s="133"/>
      <c r="H52" s="133"/>
    </row>
    <row r="53" spans="1:8" ht="12.75">
      <c r="A53" s="318"/>
      <c r="B53" s="169" t="s">
        <v>869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 verticalCentered="1"/>
  <pageMargins left="0.24" right="0.25" top="1.1023622047244095" bottom="0.984251968503937" header="0.5118110236220472" footer="0.5118110236220472"/>
  <pageSetup fitToHeight="1" fitToWidth="1" horizontalDpi="600" verticalDpi="600" orientation="landscape" paperSize="9" scale="6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E13">
      <selection activeCell="K35" sqref="K35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3" t="str">
        <f>'справка №1-БАЛАНС'!E3</f>
        <v>"Елпром ЗЕМ" АД</v>
      </c>
      <c r="C3" s="573"/>
      <c r="D3" s="573"/>
      <c r="E3" s="573"/>
      <c r="F3" s="573"/>
      <c r="G3" s="573"/>
      <c r="H3" s="573"/>
      <c r="I3" s="573"/>
      <c r="J3" s="476"/>
      <c r="K3" s="575" t="s">
        <v>2</v>
      </c>
      <c r="L3" s="575"/>
      <c r="M3" s="478">
        <f>'справка №1-БАЛАНС'!H3</f>
        <v>620115</v>
      </c>
      <c r="N3" s="2"/>
    </row>
    <row r="4" spans="1:15" s="532" customFormat="1" ht="13.5" customHeight="1">
      <c r="A4" s="467" t="s">
        <v>460</v>
      </c>
      <c r="B4" s="573" t="str">
        <f>'справка №1-БАЛАНС'!E4</f>
        <v>неконсолидиран</v>
      </c>
      <c r="C4" s="573"/>
      <c r="D4" s="573"/>
      <c r="E4" s="573"/>
      <c r="F4" s="573"/>
      <c r="G4" s="573"/>
      <c r="H4" s="573"/>
      <c r="I4" s="573"/>
      <c r="J4" s="136"/>
      <c r="K4" s="571" t="s">
        <v>3</v>
      </c>
      <c r="L4" s="571"/>
      <c r="M4" s="478">
        <f>'справка №1-БАЛАНС'!H4</f>
        <v>275</v>
      </c>
      <c r="N4" s="3"/>
      <c r="O4" s="3"/>
    </row>
    <row r="5" spans="1:14" s="532" customFormat="1" ht="12.75" customHeight="1">
      <c r="A5" s="467" t="s">
        <v>4</v>
      </c>
      <c r="B5" s="591" t="str">
        <f>'справка №1-БАЛАНС'!E5</f>
        <v>ОТЧЕТ ПЪРВО ТРИМЕСЕЧИЕ 2013 Г.</v>
      </c>
      <c r="C5" s="591"/>
      <c r="D5" s="591"/>
      <c r="E5" s="591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1213</v>
      </c>
      <c r="D11" s="58">
        <f>'справка №1-БАЛАНС'!H19</f>
        <v>0</v>
      </c>
      <c r="E11" s="58">
        <f>'справка №1-БАЛАНС'!H20</f>
        <v>11358</v>
      </c>
      <c r="F11" s="58">
        <f>'справка №1-БАЛАНС'!H22</f>
        <v>121</v>
      </c>
      <c r="G11" s="58">
        <f>'справка №1-БАЛАНС'!H23</f>
        <v>0</v>
      </c>
      <c r="H11" s="60">
        <v>3825</v>
      </c>
      <c r="I11" s="58">
        <f>'справка №1-БАЛАНС'!H28+'справка №1-БАЛАНС'!H31</f>
        <v>4024</v>
      </c>
      <c r="J11" s="58">
        <f>'справка №1-БАЛАНС'!H29+'справка №1-БАЛАНС'!H32</f>
        <v>-751</v>
      </c>
      <c r="K11" s="60"/>
      <c r="L11" s="344">
        <f>SUM(C11:K11)</f>
        <v>19790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1213</v>
      </c>
      <c r="D15" s="61">
        <f aca="true" t="shared" si="2" ref="D15:M15">D11+D12</f>
        <v>0</v>
      </c>
      <c r="E15" s="61">
        <f t="shared" si="2"/>
        <v>11358</v>
      </c>
      <c r="F15" s="61">
        <f t="shared" si="2"/>
        <v>121</v>
      </c>
      <c r="G15" s="61">
        <f t="shared" si="2"/>
        <v>0</v>
      </c>
      <c r="H15" s="61">
        <f t="shared" si="2"/>
        <v>3825</v>
      </c>
      <c r="I15" s="61">
        <f t="shared" si="2"/>
        <v>4024</v>
      </c>
      <c r="J15" s="61">
        <f t="shared" si="2"/>
        <v>-751</v>
      </c>
      <c r="K15" s="61">
        <f t="shared" si="2"/>
        <v>0</v>
      </c>
      <c r="L15" s="344">
        <f t="shared" si="1"/>
        <v>19790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/>
      <c r="J16" s="345">
        <f>+'справка №1-БАЛАНС'!G32</f>
        <v>-271</v>
      </c>
      <c r="K16" s="60"/>
      <c r="L16" s="344">
        <f t="shared" si="1"/>
        <v>-271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>
        <v>-751</v>
      </c>
      <c r="J20" s="60">
        <v>751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1213</v>
      </c>
      <c r="D29" s="59">
        <f aca="true" t="shared" si="6" ref="D29:M29">D17+D20+D21+D24+D28+D27+D15+D16</f>
        <v>0</v>
      </c>
      <c r="E29" s="59">
        <f t="shared" si="6"/>
        <v>11358</v>
      </c>
      <c r="F29" s="59">
        <f t="shared" si="6"/>
        <v>121</v>
      </c>
      <c r="G29" s="59">
        <f t="shared" si="6"/>
        <v>0</v>
      </c>
      <c r="H29" s="59">
        <f t="shared" si="6"/>
        <v>3825</v>
      </c>
      <c r="I29" s="59">
        <f t="shared" si="6"/>
        <v>3273</v>
      </c>
      <c r="J29" s="59">
        <f t="shared" si="6"/>
        <v>-271</v>
      </c>
      <c r="K29" s="59">
        <f t="shared" si="6"/>
        <v>0</v>
      </c>
      <c r="L29" s="344">
        <f t="shared" si="1"/>
        <v>19519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1213</v>
      </c>
      <c r="D32" s="59">
        <f t="shared" si="7"/>
        <v>0</v>
      </c>
      <c r="E32" s="59">
        <f t="shared" si="7"/>
        <v>11358</v>
      </c>
      <c r="F32" s="59">
        <f t="shared" si="7"/>
        <v>121</v>
      </c>
      <c r="G32" s="59">
        <f t="shared" si="7"/>
        <v>0</v>
      </c>
      <c r="H32" s="59">
        <f t="shared" si="7"/>
        <v>3825</v>
      </c>
      <c r="I32" s="59">
        <f t="shared" si="7"/>
        <v>3273</v>
      </c>
      <c r="J32" s="59">
        <f t="shared" si="7"/>
        <v>-271</v>
      </c>
      <c r="K32" s="59">
        <f t="shared" si="7"/>
        <v>0</v>
      </c>
      <c r="L32" s="344">
        <f t="shared" si="1"/>
        <v>19519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4" t="s">
        <v>863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876</v>
      </c>
      <c r="B38" s="19"/>
      <c r="C38" s="15"/>
      <c r="D38" s="572" t="s">
        <v>521</v>
      </c>
      <c r="E38" s="572"/>
      <c r="F38" s="572"/>
      <c r="G38" s="572"/>
      <c r="H38" s="572"/>
      <c r="I38" s="572"/>
      <c r="J38" s="15" t="s">
        <v>858</v>
      </c>
      <c r="K38" s="15"/>
      <c r="L38" s="572"/>
      <c r="M38" s="572"/>
      <c r="N38" s="11"/>
    </row>
    <row r="39" spans="1:13" ht="15">
      <c r="A39" s="536"/>
      <c r="B39" s="537"/>
      <c r="C39" s="538"/>
      <c r="D39" s="538"/>
      <c r="E39" s="1" t="s">
        <v>868</v>
      </c>
      <c r="F39" s="538"/>
      <c r="G39" s="538"/>
      <c r="H39" s="538"/>
      <c r="I39" s="538"/>
      <c r="J39" s="538"/>
      <c r="K39" s="169" t="s">
        <v>869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B19">
      <selection activeCell="R11" sqref="R11:R12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4" t="s">
        <v>383</v>
      </c>
      <c r="B2" s="605"/>
      <c r="C2" s="606" t="str">
        <f>'справка №1-БАЛАНС'!E3</f>
        <v>"Елпром ЗЕМ" АД</v>
      </c>
      <c r="D2" s="606"/>
      <c r="E2" s="606"/>
      <c r="F2" s="606"/>
      <c r="G2" s="606"/>
      <c r="H2" s="606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620115</v>
      </c>
      <c r="P2" s="483"/>
      <c r="Q2" s="483"/>
      <c r="R2" s="526"/>
    </row>
    <row r="3" spans="1:18" ht="15">
      <c r="A3" s="604" t="s">
        <v>4</v>
      </c>
      <c r="B3" s="605"/>
      <c r="C3" s="607" t="str">
        <f>'справка №1-БАЛАНС'!E5</f>
        <v>ОТЧЕТ ПЪРВО ТРИМЕСЕЧИЕ 2013 Г.</v>
      </c>
      <c r="D3" s="607"/>
      <c r="E3" s="607"/>
      <c r="F3" s="485"/>
      <c r="G3" s="485"/>
      <c r="H3" s="485"/>
      <c r="I3" s="485"/>
      <c r="J3" s="485"/>
      <c r="K3" s="485"/>
      <c r="L3" s="485"/>
      <c r="M3" s="596" t="s">
        <v>3</v>
      </c>
      <c r="N3" s="596"/>
      <c r="O3" s="482">
        <f>'справка №1-БАЛАНС'!H4</f>
        <v>275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597" t="s">
        <v>463</v>
      </c>
      <c r="B5" s="598"/>
      <c r="C5" s="601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594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94" t="s">
        <v>529</v>
      </c>
      <c r="R5" s="594" t="s">
        <v>530</v>
      </c>
    </row>
    <row r="6" spans="1:18" s="100" customFormat="1" ht="48">
      <c r="A6" s="599"/>
      <c r="B6" s="600"/>
      <c r="C6" s="602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595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595"/>
      <c r="R6" s="595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9921</v>
      </c>
      <c r="E9" s="189"/>
      <c r="F9" s="189"/>
      <c r="G9" s="74">
        <f>D9+E9-F9</f>
        <v>9921</v>
      </c>
      <c r="H9" s="65"/>
      <c r="I9" s="65"/>
      <c r="J9" s="74">
        <f>G9+H9-I9</f>
        <v>9921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9921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6723</v>
      </c>
      <c r="E10" s="189"/>
      <c r="F10" s="189"/>
      <c r="G10" s="74">
        <f aca="true" t="shared" si="2" ref="G10:G39">D10+E10-F10</f>
        <v>6723</v>
      </c>
      <c r="H10" s="65"/>
      <c r="I10" s="65"/>
      <c r="J10" s="74">
        <f aca="true" t="shared" si="3" ref="J10:J39">G10+H10-I10</f>
        <v>6723</v>
      </c>
      <c r="K10" s="65">
        <v>608</v>
      </c>
      <c r="L10" s="65">
        <v>46</v>
      </c>
      <c r="M10" s="65"/>
      <c r="N10" s="74">
        <f aca="true" t="shared" si="4" ref="N10:N39">K10+L10-M10</f>
        <v>654</v>
      </c>
      <c r="O10" s="65"/>
      <c r="P10" s="65"/>
      <c r="Q10" s="74">
        <f t="shared" si="0"/>
        <v>654</v>
      </c>
      <c r="R10" s="74">
        <f t="shared" si="1"/>
        <v>6069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4978</v>
      </c>
      <c r="E11" s="189">
        <v>10</v>
      </c>
      <c r="F11" s="189"/>
      <c r="G11" s="74">
        <f t="shared" si="2"/>
        <v>4988</v>
      </c>
      <c r="H11" s="65"/>
      <c r="I11" s="65"/>
      <c r="J11" s="74">
        <f t="shared" si="3"/>
        <v>4988</v>
      </c>
      <c r="K11" s="65">
        <v>2752</v>
      </c>
      <c r="L11" s="65">
        <v>68</v>
      </c>
      <c r="M11" s="65"/>
      <c r="N11" s="74">
        <f t="shared" si="4"/>
        <v>2820</v>
      </c>
      <c r="O11" s="65"/>
      <c r="P11" s="65"/>
      <c r="Q11" s="74">
        <f t="shared" si="0"/>
        <v>2820</v>
      </c>
      <c r="R11" s="74">
        <f t="shared" si="1"/>
        <v>2168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218</v>
      </c>
      <c r="E12" s="189"/>
      <c r="F12" s="189"/>
      <c r="G12" s="74">
        <f t="shared" si="2"/>
        <v>218</v>
      </c>
      <c r="H12" s="65"/>
      <c r="I12" s="65"/>
      <c r="J12" s="74">
        <f t="shared" si="3"/>
        <v>218</v>
      </c>
      <c r="K12" s="65">
        <v>23</v>
      </c>
      <c r="L12" s="65">
        <v>2</v>
      </c>
      <c r="M12" s="65"/>
      <c r="N12" s="74">
        <f t="shared" si="4"/>
        <v>25</v>
      </c>
      <c r="O12" s="65"/>
      <c r="P12" s="65"/>
      <c r="Q12" s="74">
        <f t="shared" si="0"/>
        <v>25</v>
      </c>
      <c r="R12" s="74">
        <f t="shared" si="1"/>
        <v>193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290</v>
      </c>
      <c r="E13" s="189"/>
      <c r="F13" s="189"/>
      <c r="G13" s="74">
        <f t="shared" si="2"/>
        <v>290</v>
      </c>
      <c r="H13" s="65"/>
      <c r="I13" s="65"/>
      <c r="J13" s="74">
        <f t="shared" si="3"/>
        <v>290</v>
      </c>
      <c r="K13" s="65">
        <v>263</v>
      </c>
      <c r="L13" s="65">
        <v>3</v>
      </c>
      <c r="M13" s="65"/>
      <c r="N13" s="74">
        <f t="shared" si="4"/>
        <v>266</v>
      </c>
      <c r="O13" s="65"/>
      <c r="P13" s="65"/>
      <c r="Q13" s="74">
        <f t="shared" si="0"/>
        <v>266</v>
      </c>
      <c r="R13" s="74">
        <f t="shared" si="1"/>
        <v>24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219</v>
      </c>
      <c r="E14" s="189">
        <v>9</v>
      </c>
      <c r="F14" s="189"/>
      <c r="G14" s="74">
        <f t="shared" si="2"/>
        <v>228</v>
      </c>
      <c r="H14" s="65"/>
      <c r="I14" s="65"/>
      <c r="J14" s="74">
        <f t="shared" si="3"/>
        <v>228</v>
      </c>
      <c r="K14" s="65">
        <v>129</v>
      </c>
      <c r="L14" s="65">
        <v>6</v>
      </c>
      <c r="M14" s="65"/>
      <c r="N14" s="74">
        <f t="shared" si="4"/>
        <v>135</v>
      </c>
      <c r="O14" s="65"/>
      <c r="P14" s="65"/>
      <c r="Q14" s="74">
        <f t="shared" si="0"/>
        <v>135</v>
      </c>
      <c r="R14" s="74">
        <f t="shared" si="1"/>
        <v>93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122</v>
      </c>
      <c r="E15" s="457">
        <v>16</v>
      </c>
      <c r="F15" s="457">
        <v>19</v>
      </c>
      <c r="G15" s="74">
        <f t="shared" si="2"/>
        <v>119</v>
      </c>
      <c r="H15" s="458"/>
      <c r="I15" s="458"/>
      <c r="J15" s="74">
        <f t="shared" si="3"/>
        <v>119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119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22471</v>
      </c>
      <c r="E17" s="194">
        <f>SUM(E9:E16)</f>
        <v>35</v>
      </c>
      <c r="F17" s="194">
        <f>SUM(F9:F16)</f>
        <v>19</v>
      </c>
      <c r="G17" s="74">
        <f t="shared" si="2"/>
        <v>22487</v>
      </c>
      <c r="H17" s="75">
        <f>SUM(H9:H16)</f>
        <v>0</v>
      </c>
      <c r="I17" s="75">
        <f>SUM(I9:I16)</f>
        <v>0</v>
      </c>
      <c r="J17" s="74">
        <f t="shared" si="3"/>
        <v>22487</v>
      </c>
      <c r="K17" s="75">
        <f>SUM(K9:K16)</f>
        <v>3775</v>
      </c>
      <c r="L17" s="75">
        <f>SUM(L9:L16)</f>
        <v>125</v>
      </c>
      <c r="M17" s="75">
        <f>SUM(M9:M16)</f>
        <v>0</v>
      </c>
      <c r="N17" s="74">
        <f t="shared" si="4"/>
        <v>3900</v>
      </c>
      <c r="O17" s="75">
        <f>SUM(O9:O16)</f>
        <v>0</v>
      </c>
      <c r="P17" s="75">
        <f>SUM(P9:P16)</f>
        <v>0</v>
      </c>
      <c r="Q17" s="74">
        <f t="shared" si="5"/>
        <v>3900</v>
      </c>
      <c r="R17" s="74">
        <f t="shared" si="6"/>
        <v>18587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v>246</v>
      </c>
      <c r="E21" s="189"/>
      <c r="F21" s="189"/>
      <c r="G21" s="74">
        <f t="shared" si="2"/>
        <v>246</v>
      </c>
      <c r="H21" s="65"/>
      <c r="I21" s="65"/>
      <c r="J21" s="74">
        <f t="shared" si="3"/>
        <v>246</v>
      </c>
      <c r="K21" s="65">
        <v>236</v>
      </c>
      <c r="L21" s="65">
        <v>6</v>
      </c>
      <c r="M21" s="65"/>
      <c r="N21" s="74">
        <f t="shared" si="4"/>
        <v>242</v>
      </c>
      <c r="O21" s="65"/>
      <c r="P21" s="65"/>
      <c r="Q21" s="74">
        <f t="shared" si="5"/>
        <v>242</v>
      </c>
      <c r="R21" s="74">
        <f t="shared" si="6"/>
        <v>4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52</v>
      </c>
      <c r="E22" s="189"/>
      <c r="F22" s="189"/>
      <c r="G22" s="74">
        <f t="shared" si="2"/>
        <v>52</v>
      </c>
      <c r="H22" s="65"/>
      <c r="I22" s="65"/>
      <c r="J22" s="74">
        <f t="shared" si="3"/>
        <v>52</v>
      </c>
      <c r="K22" s="65">
        <v>52</v>
      </c>
      <c r="L22" s="65"/>
      <c r="M22" s="65"/>
      <c r="N22" s="74">
        <f t="shared" si="4"/>
        <v>52</v>
      </c>
      <c r="O22" s="65"/>
      <c r="P22" s="65"/>
      <c r="Q22" s="74">
        <f t="shared" si="5"/>
        <v>52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>
        <v>84</v>
      </c>
      <c r="E23" s="189"/>
      <c r="F23" s="189"/>
      <c r="G23" s="74">
        <f t="shared" si="2"/>
        <v>84</v>
      </c>
      <c r="H23" s="65"/>
      <c r="I23" s="65"/>
      <c r="J23" s="74">
        <f t="shared" si="3"/>
        <v>84</v>
      </c>
      <c r="K23" s="65">
        <v>84</v>
      </c>
      <c r="L23" s="65"/>
      <c r="M23" s="65"/>
      <c r="N23" s="74">
        <f t="shared" si="4"/>
        <v>84</v>
      </c>
      <c r="O23" s="65"/>
      <c r="P23" s="65"/>
      <c r="Q23" s="74">
        <f t="shared" si="5"/>
        <v>84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382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382</v>
      </c>
      <c r="H25" s="66">
        <f t="shared" si="7"/>
        <v>0</v>
      </c>
      <c r="I25" s="66">
        <f t="shared" si="7"/>
        <v>0</v>
      </c>
      <c r="J25" s="67">
        <f t="shared" si="3"/>
        <v>382</v>
      </c>
      <c r="K25" s="66">
        <f t="shared" si="7"/>
        <v>372</v>
      </c>
      <c r="L25" s="66">
        <f t="shared" si="7"/>
        <v>6</v>
      </c>
      <c r="M25" s="66">
        <f t="shared" si="7"/>
        <v>0</v>
      </c>
      <c r="N25" s="67">
        <f t="shared" si="4"/>
        <v>378</v>
      </c>
      <c r="O25" s="66">
        <f t="shared" si="7"/>
        <v>0</v>
      </c>
      <c r="P25" s="66">
        <f t="shared" si="7"/>
        <v>0</v>
      </c>
      <c r="Q25" s="67">
        <f t="shared" si="5"/>
        <v>378</v>
      </c>
      <c r="R25" s="67">
        <f t="shared" si="6"/>
        <v>4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4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4</v>
      </c>
      <c r="H27" s="70">
        <f t="shared" si="8"/>
        <v>0</v>
      </c>
      <c r="I27" s="70">
        <f t="shared" si="8"/>
        <v>0</v>
      </c>
      <c r="J27" s="71">
        <f t="shared" si="3"/>
        <v>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>
        <v>4</v>
      </c>
      <c r="E31" s="189"/>
      <c r="F31" s="189"/>
      <c r="G31" s="74">
        <f t="shared" si="2"/>
        <v>4</v>
      </c>
      <c r="H31" s="72"/>
      <c r="I31" s="72"/>
      <c r="J31" s="74">
        <f t="shared" si="3"/>
        <v>4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4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4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4</v>
      </c>
      <c r="H38" s="75">
        <f t="shared" si="12"/>
        <v>0</v>
      </c>
      <c r="I38" s="75">
        <f t="shared" si="12"/>
        <v>0</v>
      </c>
      <c r="J38" s="74">
        <f t="shared" si="3"/>
        <v>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602</v>
      </c>
      <c r="B39" s="370" t="s">
        <v>603</v>
      </c>
      <c r="C39" s="369" t="s">
        <v>604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22857</v>
      </c>
      <c r="E40" s="438">
        <f>E17+E18+E19+E25+E38+E39</f>
        <v>35</v>
      </c>
      <c r="F40" s="438">
        <f aca="true" t="shared" si="13" ref="F40:R40">F17+F18+F19+F25+F38+F39</f>
        <v>19</v>
      </c>
      <c r="G40" s="438">
        <f t="shared" si="13"/>
        <v>22873</v>
      </c>
      <c r="H40" s="438">
        <f t="shared" si="13"/>
        <v>0</v>
      </c>
      <c r="I40" s="438">
        <f t="shared" si="13"/>
        <v>0</v>
      </c>
      <c r="J40" s="438">
        <f t="shared" si="13"/>
        <v>22873</v>
      </c>
      <c r="K40" s="438">
        <f t="shared" si="13"/>
        <v>4147</v>
      </c>
      <c r="L40" s="438">
        <f t="shared" si="13"/>
        <v>131</v>
      </c>
      <c r="M40" s="438">
        <f t="shared" si="13"/>
        <v>0</v>
      </c>
      <c r="N40" s="438">
        <f t="shared" si="13"/>
        <v>4278</v>
      </c>
      <c r="O40" s="438">
        <f t="shared" si="13"/>
        <v>0</v>
      </c>
      <c r="P40" s="438">
        <f t="shared" si="13"/>
        <v>0</v>
      </c>
      <c r="Q40" s="438">
        <f t="shared" si="13"/>
        <v>4278</v>
      </c>
      <c r="R40" s="438">
        <f t="shared" si="13"/>
        <v>18595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3"/>
      <c r="L44" s="603"/>
      <c r="M44" s="603"/>
      <c r="N44" s="603"/>
      <c r="O44" s="592" t="s">
        <v>781</v>
      </c>
      <c r="P44" s="593"/>
      <c r="Q44" s="593"/>
      <c r="R44" s="593"/>
    </row>
    <row r="45" spans="1:18" ht="15">
      <c r="A45" s="349"/>
      <c r="B45" s="349"/>
      <c r="C45" s="349"/>
      <c r="D45" s="531"/>
      <c r="E45" s="531"/>
      <c r="F45" s="531"/>
      <c r="G45" s="349"/>
      <c r="H45" s="349"/>
      <c r="I45" s="1" t="s">
        <v>868</v>
      </c>
      <c r="J45" s="349"/>
      <c r="K45" s="349"/>
      <c r="L45" s="349"/>
      <c r="M45" s="349"/>
      <c r="N45" s="349"/>
      <c r="O45" s="169" t="s">
        <v>869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8" scale="9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31">
      <selection activeCell="A107" sqref="A107:F107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1" t="s">
        <v>609</v>
      </c>
      <c r="B1" s="611"/>
      <c r="C1" s="611"/>
      <c r="D1" s="611"/>
      <c r="E1" s="611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4" t="str">
        <f>'справка №1-БАЛАНС'!E3</f>
        <v>"Елпром ЗЕМ" АД</v>
      </c>
      <c r="C3" s="615"/>
      <c r="D3" s="526" t="s">
        <v>2</v>
      </c>
      <c r="E3" s="107">
        <f>'справка №1-БАЛАНС'!H3</f>
        <v>620115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2" t="str">
        <f>'справка №1-БАЛАНС'!E5</f>
        <v>ОТЧЕТ ПЪРВО ТРИМЕСЕЧИЕ 2013 Г.</v>
      </c>
      <c r="C4" s="613"/>
      <c r="D4" s="527" t="s">
        <v>3</v>
      </c>
      <c r="E4" s="107">
        <f>'справка №1-БАЛАНС'!H4</f>
        <v>275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1354</v>
      </c>
      <c r="D24" s="119">
        <f>SUM(D25:D27)</f>
        <v>1354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>
        <v>1255</v>
      </c>
      <c r="D25" s="108">
        <f>C25</f>
        <v>1255</v>
      </c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94</v>
      </c>
      <c r="D26" s="108">
        <f>C26</f>
        <v>94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5</v>
      </c>
      <c r="D27" s="108">
        <f>C27</f>
        <v>5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824</v>
      </c>
      <c r="D28" s="108">
        <f>C28</f>
        <v>824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23</v>
      </c>
      <c r="D29" s="108">
        <f>C29</f>
        <v>23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61</v>
      </c>
      <c r="D33" s="105">
        <f>SUM(D34:D37)</f>
        <v>61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>
        <v>61</v>
      </c>
      <c r="D34" s="108">
        <f>C34</f>
        <v>61</v>
      </c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>
        <f>C35</f>
        <v>0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34</v>
      </c>
      <c r="D38" s="105">
        <f>SUM(D39:D42)</f>
        <v>34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34</v>
      </c>
      <c r="D42" s="108">
        <f>C42</f>
        <v>34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2296</v>
      </c>
      <c r="D43" s="104">
        <f>D24+D28+D29+D31+D30+D32+D33+D38</f>
        <v>2296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2296</v>
      </c>
      <c r="D44" s="103">
        <f>D43+D21+D19+D9</f>
        <v>2296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24</v>
      </c>
      <c r="D56" s="103">
        <f>D57+D59</f>
        <v>0</v>
      </c>
      <c r="E56" s="119">
        <f t="shared" si="1"/>
        <v>24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24</v>
      </c>
      <c r="D57" s="108"/>
      <c r="E57" s="119">
        <f t="shared" si="1"/>
        <v>24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407</v>
      </c>
      <c r="D64" s="108">
        <v>24</v>
      </c>
      <c r="E64" s="119">
        <f t="shared" si="1"/>
        <v>383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431</v>
      </c>
      <c r="D66" s="103">
        <f>D52+D56+D61+D62+D63+D64</f>
        <v>24</v>
      </c>
      <c r="E66" s="119">
        <f t="shared" si="1"/>
        <v>407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1001</v>
      </c>
      <c r="D68" s="108"/>
      <c r="E68" s="119">
        <f t="shared" si="1"/>
        <v>1001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44</v>
      </c>
      <c r="D71" s="105">
        <f>SUM(D72:D74)</f>
        <v>44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v>44</v>
      </c>
      <c r="D72" s="108">
        <f>C72</f>
        <v>44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192</v>
      </c>
      <c r="D75" s="103">
        <f>D76+D78</f>
        <v>192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188</v>
      </c>
      <c r="D76" s="108">
        <f>C76</f>
        <v>188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>
        <v>4</v>
      </c>
      <c r="D78" s="108">
        <f>C78</f>
        <v>4</v>
      </c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1425</v>
      </c>
      <c r="D85" s="104">
        <f>SUM(D86:D90)+D94</f>
        <v>1425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452</v>
      </c>
      <c r="D87" s="108">
        <f>C87</f>
        <v>452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701</v>
      </c>
      <c r="D88" s="108">
        <f>C88</f>
        <v>701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107</v>
      </c>
      <c r="D89" s="108">
        <f>C89</f>
        <v>107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119</v>
      </c>
      <c r="D90" s="103">
        <f>SUM(D91:D93)</f>
        <v>119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9</v>
      </c>
      <c r="D92" s="108">
        <f>C92</f>
        <v>9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110</v>
      </c>
      <c r="D93" s="108">
        <f>C93</f>
        <v>110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46</v>
      </c>
      <c r="D94" s="108">
        <f>C94</f>
        <v>46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7</v>
      </c>
      <c r="D95" s="108">
        <f>C95</f>
        <v>7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1668</v>
      </c>
      <c r="D96" s="104">
        <f>D85+D80+D75+D71+D95</f>
        <v>1668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3100</v>
      </c>
      <c r="D97" s="104">
        <f>D96+D68+D66</f>
        <v>1692</v>
      </c>
      <c r="E97" s="104">
        <f>E96+E68+E66</f>
        <v>1408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>
        <v>10</v>
      </c>
      <c r="D102" s="108"/>
      <c r="E102" s="108"/>
      <c r="F102" s="125">
        <f>C102+D102-E102</f>
        <v>10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>
        <v>42</v>
      </c>
      <c r="D103" s="108"/>
      <c r="E103" s="108"/>
      <c r="F103" s="125">
        <f>C103+D103-E103</f>
        <v>42</v>
      </c>
    </row>
    <row r="104" spans="1:6" ht="12">
      <c r="A104" s="396" t="s">
        <v>775</v>
      </c>
      <c r="B104" s="397" t="s">
        <v>776</v>
      </c>
      <c r="C104" s="108">
        <v>20</v>
      </c>
      <c r="D104" s="108"/>
      <c r="E104" s="108">
        <v>5</v>
      </c>
      <c r="F104" s="125">
        <f>C104+D104-E104</f>
        <v>15</v>
      </c>
    </row>
    <row r="105" spans="1:16" ht="12">
      <c r="A105" s="412" t="s">
        <v>777</v>
      </c>
      <c r="B105" s="395" t="s">
        <v>778</v>
      </c>
      <c r="C105" s="103">
        <f>SUM(C102:C104)</f>
        <v>72</v>
      </c>
      <c r="D105" s="103">
        <f>SUM(D102:D104)</f>
        <v>0</v>
      </c>
      <c r="E105" s="103">
        <f>SUM(E102:E104)</f>
        <v>5</v>
      </c>
      <c r="F105" s="103">
        <f>SUM(F102:F104)</f>
        <v>67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0" t="s">
        <v>780</v>
      </c>
      <c r="B107" s="610"/>
      <c r="C107" s="610"/>
      <c r="D107" s="610"/>
      <c r="E107" s="610"/>
      <c r="F107" s="61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09" t="s">
        <v>870</v>
      </c>
      <c r="B109" s="609"/>
      <c r="C109" s="609" t="s">
        <v>381</v>
      </c>
      <c r="D109" s="609"/>
      <c r="E109" s="609"/>
      <c r="F109" s="609"/>
    </row>
    <row r="110" spans="1:6" ht="15">
      <c r="A110" s="385"/>
      <c r="B110" s="386"/>
      <c r="C110" s="1" t="s">
        <v>868</v>
      </c>
      <c r="D110" s="385"/>
      <c r="E110" s="385"/>
      <c r="F110" s="387"/>
    </row>
    <row r="111" spans="1:6" ht="12">
      <c r="A111" s="385"/>
      <c r="B111" s="386"/>
      <c r="C111" s="608" t="s">
        <v>781</v>
      </c>
      <c r="D111" s="608"/>
      <c r="E111" s="608"/>
      <c r="F111" s="608"/>
    </row>
    <row r="112" spans="1:6" ht="12.75">
      <c r="A112" s="349"/>
      <c r="B112" s="388"/>
      <c r="C112" s="169" t="s">
        <v>869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24" top="0.5118110236220472" bottom="0.3937007874015748" header="0.31496062992125984" footer="0.27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16" t="str">
        <f>'справка №1-БАЛАНС'!E3</f>
        <v>"Елпром ЗЕМ" АД</v>
      </c>
      <c r="C4" s="616"/>
      <c r="D4" s="616"/>
      <c r="E4" s="616"/>
      <c r="F4" s="616"/>
      <c r="G4" s="622" t="s">
        <v>2</v>
      </c>
      <c r="H4" s="622"/>
      <c r="I4" s="500">
        <f>'справка №1-БАЛАНС'!H3</f>
        <v>620115</v>
      </c>
    </row>
    <row r="5" spans="1:9" ht="15">
      <c r="A5" s="501" t="s">
        <v>4</v>
      </c>
      <c r="B5" s="617" t="str">
        <f>'справка №1-БАЛАНС'!E5</f>
        <v>ОТЧЕТ ПЪРВО ТРИМЕСЕЧИЕ 2013 Г.</v>
      </c>
      <c r="C5" s="617"/>
      <c r="D5" s="617"/>
      <c r="E5" s="617"/>
      <c r="F5" s="617"/>
      <c r="G5" s="620" t="s">
        <v>3</v>
      </c>
      <c r="H5" s="621"/>
      <c r="I5" s="500">
        <f>'справка №1-БАЛАНС'!H4</f>
        <v>275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871</v>
      </c>
      <c r="B30" s="619"/>
      <c r="C30" s="619"/>
      <c r="D30" s="459" t="s">
        <v>819</v>
      </c>
      <c r="E30" s="618"/>
      <c r="F30" s="618"/>
      <c r="G30" s="618"/>
      <c r="H30" s="420" t="s">
        <v>781</v>
      </c>
      <c r="I30" s="618"/>
      <c r="J30" s="618"/>
    </row>
    <row r="31" spans="1:9" s="521" customFormat="1" ht="15">
      <c r="A31" s="349"/>
      <c r="B31" s="388"/>
      <c r="C31" s="349"/>
      <c r="D31" s="1" t="s">
        <v>868</v>
      </c>
      <c r="E31" s="523"/>
      <c r="F31" s="523"/>
      <c r="G31" s="523"/>
      <c r="H31" s="169" t="s">
        <v>869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3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30">
      <selection activeCell="D152" sqref="D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3" t="str">
        <f>'справка №1-БАЛАНС'!E3</f>
        <v>"Елпром ЗЕМ" АД</v>
      </c>
      <c r="C5" s="623"/>
      <c r="D5" s="623"/>
      <c r="E5" s="570" t="s">
        <v>2</v>
      </c>
      <c r="F5" s="451">
        <f>'справка №1-БАЛАНС'!H3</f>
        <v>620115</v>
      </c>
    </row>
    <row r="6" spans="1:13" ht="15" customHeight="1">
      <c r="A6" s="27" t="s">
        <v>822</v>
      </c>
      <c r="B6" s="624" t="str">
        <f>'справка №1-БАЛАНС'!E5</f>
        <v>ОТЧЕТ ПЪРВО ТРИМЕСЕЧИЕ 2013 Г.</v>
      </c>
      <c r="C6" s="624"/>
      <c r="D6" s="510"/>
      <c r="E6" s="569" t="s">
        <v>3</v>
      </c>
      <c r="F6" s="511">
        <f>'справка №1-БАЛАНС'!H4</f>
        <v>275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864</v>
      </c>
      <c r="B133" s="40"/>
      <c r="C133" s="441">
        <v>4</v>
      </c>
      <c r="D133" s="441">
        <v>0.05</v>
      </c>
      <c r="E133" s="441"/>
      <c r="F133" s="443">
        <f>C133-E133</f>
        <v>4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4</v>
      </c>
      <c r="D148" s="429"/>
      <c r="E148" s="429">
        <f>SUM(E133:E147)</f>
        <v>0</v>
      </c>
      <c r="F148" s="442">
        <f>SUM(F133:F147)</f>
        <v>4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4</v>
      </c>
      <c r="D149" s="429"/>
      <c r="E149" s="429">
        <f>E148+E131+E114+E97</f>
        <v>0</v>
      </c>
      <c r="F149" s="442">
        <f>F148+F131+F114+F97</f>
        <v>4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871</v>
      </c>
      <c r="B151" s="453"/>
      <c r="C151" s="625" t="s">
        <v>849</v>
      </c>
      <c r="D151" s="625"/>
      <c r="E151" s="625"/>
      <c r="F151" s="625"/>
    </row>
    <row r="152" spans="1:6" ht="15">
      <c r="A152" s="517"/>
      <c r="B152" s="518"/>
      <c r="C152" s="1" t="s">
        <v>868</v>
      </c>
      <c r="D152" s="517"/>
      <c r="E152" s="517"/>
      <c r="F152" s="517"/>
    </row>
    <row r="153" spans="1:6" ht="12.75">
      <c r="A153" s="517"/>
      <c r="B153" s="518"/>
      <c r="C153" s="625" t="s">
        <v>857</v>
      </c>
      <c r="D153" s="625"/>
      <c r="E153" s="625"/>
      <c r="F153" s="625"/>
    </row>
    <row r="154" spans="3:5" ht="12.75">
      <c r="C154" s="169" t="s">
        <v>869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-</cp:lastModifiedBy>
  <cp:lastPrinted>2013-04-09T09:28:12Z</cp:lastPrinted>
  <dcterms:created xsi:type="dcterms:W3CDTF">2000-06-29T12:02:40Z</dcterms:created>
  <dcterms:modified xsi:type="dcterms:W3CDTF">2013-04-11T07:57:05Z</dcterms:modified>
  <cp:category/>
  <cp:version/>
  <cp:contentType/>
  <cp:contentStatus/>
</cp:coreProperties>
</file>