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5480" windowHeight="4965" activeTab="0"/>
  </bookViews>
  <sheets>
    <sheet name="справка №1-БАЛАНС " sheetId="1" r:id="rId1"/>
    <sheet name="справка №2ОТЧЕТ ЗА ДОХОДИТЕ " sheetId="2" r:id="rId2"/>
    <sheet name="справка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Area" localSheetId="2">'справка№3-ОПП по прекия метод'!$A$1:$D$53</definedName>
    <definedName name="_xlnm.Print_Titles" localSheetId="0">'справка №1-БАЛАНС '!$8:$8</definedName>
    <definedName name="_xlnm.Print_Titles" localSheetId="5">'справка №6'!$48:$50</definedName>
  </definedNames>
  <calcPr fullCalcOnLoad="1"/>
</workbook>
</file>

<file path=xl/sharedStrings.xml><?xml version="1.0" encoding="utf-8"?>
<sst xmlns="http://schemas.openxmlformats.org/spreadsheetml/2006/main" count="1076" uniqueCount="872">
  <si>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</si>
  <si>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</si>
  <si>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</si>
  <si>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</si>
  <si>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</si>
  <si>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</si>
  <si>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</si>
  <si>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</si>
  <si>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</si>
  <si>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</si>
  <si>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</si>
  <si>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</si>
  <si>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</si>
  <si>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</si>
  <si>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</si>
  <si>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</si>
  <si>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</si>
  <si>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</si>
  <si>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</si>
  <si>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</si>
  <si>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</si>
  <si>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</si>
  <si>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</si>
  <si>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</si>
  <si>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</si>
  <si>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</si>
  <si>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</si>
  <si>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</si>
  <si>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</si>
  <si>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</si>
  <si>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</si>
  <si>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</si>
  <si>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</si>
  <si>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</si>
  <si>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</si>
  <si>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</si>
  <si>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</si>
  <si>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</si>
  <si>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</si>
  <si>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</si>
  <si>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</si>
  <si>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</si>
  <si>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</si>
  <si>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</si>
  <si>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</si>
  <si>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</si>
  <si>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</si>
  <si>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</si>
  <si>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</si>
  <si>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</si>
  <si>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</si>
  <si>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</si>
  <si>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</si>
  <si>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</si>
  <si>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</si>
  <si>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</si>
  <si>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</si>
  <si>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</si>
  <si>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</si>
  <si>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</si>
  <si>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</si>
  <si>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</si>
  <si>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</si>
  <si>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</si>
  <si>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</si>
  <si>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</si>
  <si>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</si>
  <si>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</si>
  <si>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</si>
  <si>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</si>
  <si>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</si>
  <si>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</si>
  <si>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</si>
  <si>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</si>
  <si>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</si>
  <si>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</si>
  <si>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</si>
  <si>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</si>
  <si>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</si>
  <si>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</si>
  <si>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</si>
  <si>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</si>
  <si>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</si>
  <si>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</si>
  <si>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</si>
  <si>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</si>
  <si>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</si>
  <si>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</si>
  <si>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</si>
  <si>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</si>
  <si>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</si>
  <si>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</si>
  <si>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</si>
  <si>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</si>
  <si>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</si>
  <si>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</si>
  <si>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</si>
  <si>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</si>
  <si>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</si>
  <si>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</si>
  <si>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</si>
  <si>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</si>
  <si>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</si>
  <si>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</si>
  <si>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</si>
  <si>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</si>
  <si>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</si>
  <si>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</si>
  <si>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</si>
  <si>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</si>
  <si>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</si>
  <si>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</si>
  <si>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</si>
  <si>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</si>
  <si>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</si>
  <si>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</si>
  <si>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</si>
  <si>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</si>
  <si>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</si>
  <si>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</si>
  <si>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</si>
  <si>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</si>
  <si>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</si>
  <si>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</si>
  <si>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</si>
  <si>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</si>
  <si>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</si>
  <si>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</si>
  <si>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</si>
  <si>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</si>
  <si>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</si>
  <si>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</si>
  <si>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</si>
  <si>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</si>
  <si>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</si>
  <si>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</si>
  <si>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</si>
  <si>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</si>
  <si>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</si>
  <si>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</si>
  <si>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</si>
  <si>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</si>
  <si>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</si>
  <si>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</si>
  <si>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</si>
  <si>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</si>
  <si>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</si>
  <si>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</si>
  <si>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</si>
  <si>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</si>
  <si>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</si>
  <si>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</si>
  <si>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</si>
  <si>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</si>
  <si>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</si>
  <si>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</si>
  <si>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</si>
  <si>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</si>
  <si>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</si>
  <si>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</si>
  <si>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</si>
  <si>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</si>
  <si>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</si>
  <si>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</si>
  <si>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</si>
  <si>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</si>
  <si>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</si>
  <si>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</si>
  <si>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</si>
  <si>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</si>
  <si>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</si>
  <si>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</si>
  <si>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</si>
  <si>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</si>
  <si>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</si>
  <si>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</si>
  <si>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</si>
  <si>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</si>
  <si>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</si>
  <si>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</si>
  <si>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</si>
  <si>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</si>
  <si>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</si>
  <si>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</si>
  <si>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</si>
  <si>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</si>
  <si>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</si>
  <si>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</si>
  <si>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</si>
  <si>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</si>
  <si>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</si>
  <si>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</si>
  <si>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</si>
  <si>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</si>
  <si>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</si>
  <si>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</si>
  <si>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</si>
  <si>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</si>
  <si>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</si>
  <si>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</si>
  <si>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</si>
  <si>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</si>
  <si>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</si>
  <si>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</si>
  <si>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</si>
  <si>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</si>
  <si>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</si>
  <si>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</si>
  <si>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</si>
  <si>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</si>
  <si>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</si>
  <si>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</si>
  <si>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</si>
  <si>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</si>
  <si>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</si>
  <si>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</si>
  <si>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</si>
  <si>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</si>
  <si>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</si>
  <si>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</si>
  <si>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</si>
  <si>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</si>
  <si>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</si>
  <si>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</si>
  <si>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</si>
  <si>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</si>
  <si>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</si>
  <si>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</si>
  <si>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</si>
  <si>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</si>
  <si>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</si>
  <si>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</si>
  <si>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</si>
  <si>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</si>
  <si>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</si>
  <si>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</si>
  <si>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</si>
  <si>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</si>
  <si>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</si>
  <si>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</si>
  <si>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</si>
  <si>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</si>
  <si>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</si>
  <si>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</si>
  <si>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</si>
  <si>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</si>
  <si>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</si>
  <si>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</si>
  <si>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</si>
  <si>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</si>
  <si>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</si>
  <si>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</si>
  <si>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</si>
  <si>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</si>
  <si>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</si>
  <si>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</si>
  <si>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</si>
  <si>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</si>
  <si>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</si>
  <si>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</si>
  <si>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</si>
  <si>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</si>
  <si>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</si>
  <si>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</si>
  <si>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</si>
  <si>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</si>
  <si>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</si>
  <si>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</si>
  <si>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</si>
  <si>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</si>
  <si>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</si>
  <si>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</si>
  <si>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</si>
  <si>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</si>
  <si>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</si>
  <si>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</si>
  <si>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</si>
  <si>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</si>
  <si>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</si>
  <si>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</si>
  <si>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</si>
  <si>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</si>
  <si>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</si>
  <si>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</si>
  <si>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</si>
  <si>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</si>
  <si>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</si>
  <si>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</si>
  <si>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</si>
  <si>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</si>
  <si>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</si>
  <si>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</si>
  <si>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</si>
  <si>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</si>
  <si>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</si>
  <si>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</si>
  <si>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</si>
  <si>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</si>
  <si>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</si>
  <si>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</si>
  <si>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</si>
  <si>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</si>
  <si>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</si>
  <si>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</si>
  <si>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</si>
  <si>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</si>
  <si>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</si>
  <si>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</si>
  <si>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</si>
  <si>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</si>
  <si>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</si>
  <si>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</si>
  <si>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</si>
  <si>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</si>
  <si>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</si>
  <si>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</si>
  <si>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</si>
  <si>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</si>
  <si>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</si>
  <si>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</si>
  <si>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</si>
  <si>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</si>
  <si>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</si>
  <si>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</si>
  <si>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</si>
  <si>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</si>
  <si>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</si>
  <si>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</si>
  <si>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</si>
  <si>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</si>
  <si>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</si>
  <si>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</si>
  <si>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</si>
  <si>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</si>
  <si>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</si>
  <si>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</si>
  <si>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</si>
  <si>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</si>
  <si>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</si>
  <si>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</si>
  <si>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</si>
  <si>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</si>
  <si>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</si>
  <si>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</si>
  <si>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</si>
  <si>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</si>
  <si>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</si>
  <si>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</si>
  <si>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</si>
  <si>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</si>
  <si>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</si>
  <si>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</si>
  <si>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</si>
  <si>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</si>
  <si>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</si>
  <si>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</si>
  <si>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</si>
  <si>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</si>
  <si>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</si>
  <si>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</si>
  <si>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</si>
  <si>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</si>
  <si>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</si>
  <si>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</si>
  <si>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</si>
  <si>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</si>
  <si>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</si>
  <si>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</si>
  <si>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</si>
  <si>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</si>
  <si>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</si>
  <si>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</si>
  <si>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</si>
  <si>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</si>
  <si>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</si>
  <si>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</si>
  <si>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</si>
  <si>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</si>
  <si>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</si>
  <si>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</si>
  <si>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</si>
  <si>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</si>
  <si>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</si>
  <si>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</si>
  <si>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</si>
  <si>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</si>
  <si>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</si>
  <si>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</si>
  <si>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</si>
  <si>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</si>
  <si>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</si>
  <si>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</si>
  <si>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</si>
  <si>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</si>
  <si>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</si>
  <si>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</si>
  <si>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</si>
  <si>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</si>
  <si>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</si>
  <si>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</si>
  <si>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</si>
  <si>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</si>
  <si>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</si>
  <si>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</si>
  <si>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</si>
  <si>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</si>
  <si>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</si>
  <si>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</si>
  <si>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</si>
  <si>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</si>
  <si>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</si>
  <si>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</si>
  <si>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</si>
  <si>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</si>
  <si>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</si>
  <si>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</si>
  <si>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</si>
  <si>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</si>
  <si>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</si>
  <si>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</si>
  <si>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</si>
  <si>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</si>
  <si>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</si>
  <si>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</si>
  <si>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</si>
  <si>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</si>
  <si>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</si>
  <si>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</si>
  <si>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</si>
  <si>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</si>
  <si>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</si>
  <si>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</si>
  <si>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</si>
  <si>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</si>
  <si>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</si>
  <si>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</si>
  <si>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</si>
  <si>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</si>
  <si>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</si>
  <si>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</si>
  <si>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</si>
  <si>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</si>
  <si>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</si>
  <si>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</si>
  <si>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</si>
  <si>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</si>
  <si>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</si>
  <si>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</si>
  <si>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</si>
  <si>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</si>
  <si>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</si>
  <si>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</si>
  <si>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</si>
  <si>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</si>
  <si>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</si>
  <si>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</si>
  <si>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</si>
  <si>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</si>
  <si>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</si>
  <si>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</si>
  <si>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</si>
  <si>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</si>
  <si>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</si>
  <si>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</si>
  <si>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</si>
  <si>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</si>
  <si>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</si>
  <si>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</si>
  <si>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</si>
  <si>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</si>
  <si>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</si>
  <si>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</si>
  <si>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</si>
  <si>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</si>
  <si>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</si>
  <si>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</si>
  <si>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</si>
  <si>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</si>
  <si>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</si>
  <si>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</si>
  <si>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</si>
  <si>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</si>
  <si>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</si>
  <si>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</si>
  <si>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</si>
  <si>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</si>
  <si>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</si>
  <si>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</si>
  <si>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</si>
  <si>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</si>
  <si>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</si>
  <si>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</si>
  <si>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</si>
  <si>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</si>
  <si>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</si>
  <si>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</si>
  <si>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</si>
  <si>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</si>
  <si>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</si>
  <si>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</si>
  <si>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</si>
  <si>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</si>
  <si>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</si>
  <si>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</si>
  <si>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</si>
  <si>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</si>
  <si>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</si>
  <si>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</si>
  <si>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</si>
  <si>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</si>
  <si>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</si>
  <si>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</si>
  <si>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</si>
  <si>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</si>
  <si>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</si>
  <si>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</si>
  <si>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</si>
  <si>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</si>
  <si>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</si>
  <si>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</si>
  <si>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</si>
  <si>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</si>
  <si>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</si>
  <si>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</si>
  <si>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</si>
  <si>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</si>
  <si>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</si>
  <si>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</si>
  <si>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</si>
  <si>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</si>
  <si>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</si>
  <si>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</si>
  <si>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</si>
  <si>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</si>
  <si>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</si>
  <si>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</si>
  <si>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</si>
  <si>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</si>
  <si>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</si>
  <si>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</si>
  <si>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</si>
  <si>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</si>
  <si>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</si>
  <si>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</si>
  <si>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</si>
  <si>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</si>
  <si>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</si>
  <si>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</si>
  <si>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</si>
  <si>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</si>
  <si>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</si>
  <si>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</si>
  <si>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</si>
  <si>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</si>
  <si>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</si>
  <si>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</si>
  <si>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</si>
  <si>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</si>
  <si>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</si>
  <si>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</si>
  <si>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</si>
  <si>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</si>
  <si>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</si>
  <si>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</si>
  <si>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</si>
  <si>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</si>
  <si>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</si>
  <si>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</si>
  <si>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</si>
  <si>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</si>
  <si>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</si>
  <si>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</si>
  <si>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</si>
  <si>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</si>
  <si>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</si>
  <si>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</si>
  <si>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</si>
  <si>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</si>
  <si>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</si>
  <si>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</si>
  <si>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</si>
  <si>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</si>
  <si>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</si>
  <si>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</si>
  <si>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</si>
  <si>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</si>
  <si>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</si>
  <si>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</si>
  <si>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</si>
  <si>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</si>
  <si>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</si>
  <si>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</si>
  <si>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</si>
  <si>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</si>
  <si>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</si>
  <si>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</si>
  <si>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</si>
  <si>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</si>
  <si>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</si>
  <si>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</si>
  <si>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</si>
  <si>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</si>
  <si>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</si>
  <si>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</si>
  <si>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</si>
  <si>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</si>
  <si>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</si>
  <si>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</si>
  <si>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</si>
  <si>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</si>
  <si>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</si>
  <si>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</si>
  <si>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</si>
  <si>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</si>
  <si>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</si>
  <si>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</si>
  <si>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</si>
  <si>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</si>
  <si>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</si>
  <si>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</si>
  <si>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</si>
  <si>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</si>
  <si>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</si>
  <si>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</si>
  <si>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</si>
  <si>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</si>
  <si>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</si>
  <si>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</si>
  <si>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</si>
  <si>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</si>
  <si>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</si>
  <si>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</si>
  <si>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</si>
  <si>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</si>
  <si>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</si>
  <si>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</si>
  <si>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</si>
  <si>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</si>
  <si>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</si>
  <si>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</si>
  <si>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</si>
  <si>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</si>
  <si>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</si>
  <si>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</si>
  <si>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</si>
  <si>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</si>
  <si>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</si>
  <si>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</si>
  <si>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</si>
  <si>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</si>
  <si>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</si>
  <si>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</si>
  <si>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</si>
  <si>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</si>
  <si>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</si>
  <si>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</si>
  <si>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</si>
  <si>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</si>
  <si>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</si>
  <si>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</si>
  <si>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</si>
  <si>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</si>
  <si>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</si>
  <si>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</si>
  <si>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</si>
  <si>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</si>
  <si>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</si>
  <si>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</si>
  <si>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</si>
  <si>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</si>
  <si>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</si>
  <si>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</si>
  <si>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</si>
  <si>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</si>
  <si>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</si>
  <si>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</si>
  <si>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</si>
  <si>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</si>
  <si>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</si>
  <si>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</si>
  <si>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</si>
  <si>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</si>
  <si>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</si>
  <si>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</si>
  <si>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</si>
  <si>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</si>
  <si>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</si>
  <si>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</si>
  <si>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</si>
  <si>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</si>
  <si>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</si>
  <si>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</si>
  <si>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</si>
  <si>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</si>
  <si>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</si>
  <si>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</si>
  <si>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</si>
  <si>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</si>
  <si>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</si>
  <si>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</si>
  <si>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</si>
  <si>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</si>
  <si>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</si>
  <si>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</si>
  <si>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</si>
  <si>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</si>
  <si>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</si>
  <si>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</si>
  <si>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</si>
  <si>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</si>
  <si>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</si>
  <si>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</si>
  <si>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</si>
  <si>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</si>
  <si>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</si>
  <si>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</si>
  <si>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</si>
  <si>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</si>
  <si>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</si>
  <si>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</si>
  <si>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</si>
  <si>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</si>
  <si>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</si>
  <si>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</si>
  <si>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</si>
  <si>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</si>
  <si>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</si>
  <si>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</si>
  <si>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</si>
  <si>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</si>
  <si>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</si>
  <si>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</si>
  <si>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</si>
  <si>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</si>
  <si>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</si>
  <si>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</si>
  <si>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</si>
  <si>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</si>
  <si>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</si>
  <si>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</si>
  <si>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</si>
  <si>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</si>
  <si>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</si>
  <si>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</si>
  <si>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</si>
  <si>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</si>
  <si>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</si>
  <si>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</si>
  <si>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</si>
  <si>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</si>
  <si>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</si>
  <si>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</si>
  <si>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</si>
  <si>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</si>
  <si>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</si>
  <si>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</si>
  <si>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</si>
  <si>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</si>
  <si>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</si>
  <si>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</si>
  <si>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</si>
  <si>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</si>
  <si>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</si>
  <si>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</si>
  <si>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</si>
  <si>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</si>
  <si>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</si>
  <si>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</si>
  <si>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</si>
  <si>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</si>
  <si>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</si>
  <si>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</si>
  <si>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</si>
  <si>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</si>
  <si>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</si>
  <si>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</si>
  <si>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</si>
  <si>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</si>
  <si>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</si>
  <si>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</si>
  <si>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</si>
  <si>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</si>
  <si>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</si>
  <si>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</si>
  <si>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</si>
  <si>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</si>
  <si>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</si>
  <si>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</si>
  <si>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</si>
  <si>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</si>
  <si>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</si>
  <si>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</si>
  <si>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</si>
  <si>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</si>
  <si>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</si>
  <si>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</si>
  <si>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</si>
  <si>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</si>
  <si>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</si>
  <si>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</si>
  <si>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</si>
  <si>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</si>
  <si>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</si>
  <si>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</si>
  <si>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</si>
  <si>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</si>
  <si>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</si>
  <si>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</si>
  <si>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</si>
  <si>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</si>
  <si>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</si>
  <si>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</si>
  <si>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</si>
  <si>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</si>
  <si>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</si>
  <si>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</si>
  <si>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</si>
  <si>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</si>
  <si>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</si>
  <si>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</si>
  <si>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</si>
  <si>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</si>
  <si>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</si>
  <si>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</si>
  <si>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</si>
  <si>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</si>
  <si>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</si>
  <si>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</si>
  <si>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</si>
  <si>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</si>
  <si>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</si>
  <si>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</si>
  <si>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</si>
  <si>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</si>
  <si>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</si>
  <si>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</si>
  <si>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</si>
  <si>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</si>
  <si>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</si>
  <si>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</si>
  <si>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</si>
  <si>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</si>
  <si>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</si>
  <si>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</si>
  <si>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</si>
  <si>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</si>
  <si>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</si>
  <si>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</si>
  <si>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</si>
  <si>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</si>
  <si>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</si>
  <si>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</si>
  <si>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</si>
  <si>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</si>
  <si>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</si>
  <si>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</si>
  <si>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</si>
  <si>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</si>
  <si>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</si>
  <si>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</si>
  <si>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</si>
  <si>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Транскарт АД</t>
  </si>
  <si>
    <t>(Христина Станева)</t>
  </si>
  <si>
    <t xml:space="preserve"> Ръководител:</t>
  </si>
  <si>
    <t>(Христина  Станева)</t>
  </si>
  <si>
    <t>към 31.12.2007 година</t>
  </si>
  <si>
    <t>(Любомир Каримански)</t>
  </si>
  <si>
    <t xml:space="preserve">   (Любомир Каримански)</t>
  </si>
  <si>
    <t>Дата на съставяне: 27.02.2008 год.</t>
  </si>
  <si>
    <t xml:space="preserve">Дата на съставяне: 27.02.2008 год.                                      </t>
  </si>
  <si>
    <t xml:space="preserve">Дата  на съставяне:27.02.2008 година                                                                                                                            </t>
  </si>
  <si>
    <t>Дата на съставяне: 27.02.2008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</si>
</sst>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C19" sqref="C1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861</v>
      </c>
      <c r="F3" s="217" t="s">
        <v>2</v>
      </c>
      <c r="G3" s="172"/>
      <c r="H3" s="461">
        <v>130786407</v>
      </c>
    </row>
    <row r="4" spans="1:8" ht="15">
      <c r="A4" s="575" t="s">
        <v>3</v>
      </c>
      <c r="B4" s="581"/>
      <c r="C4" s="581"/>
      <c r="D4" s="581"/>
      <c r="E4" s="461" t="s">
        <v>860</v>
      </c>
      <c r="F4" s="577" t="s">
        <v>4</v>
      </c>
      <c r="G4" s="578"/>
      <c r="H4" s="461"/>
    </row>
    <row r="5" spans="1:8" ht="15">
      <c r="A5" s="575" t="s">
        <v>5</v>
      </c>
      <c r="B5" s="576"/>
      <c r="C5" s="576"/>
      <c r="D5" s="576"/>
      <c r="E5" s="504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2542</v>
      </c>
      <c r="D13" s="151">
        <v>3639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>
        <v>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60</v>
      </c>
      <c r="D16" s="151">
        <v>64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2602</v>
      </c>
      <c r="D19" s="155">
        <f>SUM(D11:D18)</f>
        <v>3706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147</v>
      </c>
      <c r="D23" s="151">
        <v>46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167</v>
      </c>
      <c r="D24" s="151">
        <v>374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314</v>
      </c>
      <c r="D27" s="155">
        <f>SUM(D23:D26)</f>
        <v>421</v>
      </c>
      <c r="E27" s="253" t="s">
        <v>83</v>
      </c>
      <c r="F27" s="242" t="s">
        <v>84</v>
      </c>
      <c r="G27" s="154">
        <f>SUM(G28:G30)</f>
        <v>-6225</v>
      </c>
      <c r="H27" s="154">
        <f>SUM(H28:H30)</f>
        <v>-5972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191</v>
      </c>
      <c r="H28" s="152">
        <v>133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-6135-281</f>
        <v>-6416</v>
      </c>
      <c r="H29" s="316">
        <v>-6105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58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-1211</v>
      </c>
      <c r="H32" s="316">
        <f>-253-58</f>
        <v>-311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-7436</v>
      </c>
      <c r="H33" s="154">
        <f>H27+H31+H32</f>
        <v>-6225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-436</v>
      </c>
      <c r="H36" s="154">
        <f>H25+H17+H33</f>
        <v>775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2079</v>
      </c>
      <c r="D39" s="159">
        <f>D40+D41+D43</f>
        <v>2034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2079</v>
      </c>
      <c r="D43" s="151">
        <v>2034</v>
      </c>
      <c r="E43" s="243" t="s">
        <v>130</v>
      </c>
      <c r="F43" s="242" t="s">
        <v>131</v>
      </c>
      <c r="G43" s="152">
        <v>9001</v>
      </c>
      <c r="H43" s="152">
        <v>5551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8392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2079</v>
      </c>
      <c r="D45" s="155">
        <f>D34+D39+D44</f>
        <v>2034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884</v>
      </c>
      <c r="H46" s="152">
        <v>1829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f>290+50</f>
        <v>340</v>
      </c>
      <c r="D48" s="151">
        <v>309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18277</v>
      </c>
      <c r="H49" s="154">
        <f>SUM(H43:H48)</f>
        <v>7380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14975-50</f>
        <v>14925</v>
      </c>
      <c r="D50" s="151">
        <v>13720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15265</v>
      </c>
      <c r="D51" s="155">
        <f>SUM(D47:D50)</f>
        <v>14029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27</v>
      </c>
      <c r="H53" s="152">
        <v>98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20260</v>
      </c>
      <c r="D55" s="155">
        <f>D19+D20+D21+D27+D32+D45+D51+D53+D54</f>
        <v>20190</v>
      </c>
      <c r="E55" s="237" t="s">
        <v>172</v>
      </c>
      <c r="F55" s="261" t="s">
        <v>173</v>
      </c>
      <c r="G55" s="154">
        <f>G49+G51+G52+G53+G54</f>
        <v>18304</v>
      </c>
      <c r="H55" s="154">
        <f>H49+H51+H52+H53+H54</f>
        <v>7478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183</v>
      </c>
      <c r="D58" s="151">
        <v>175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3662</v>
      </c>
      <c r="H59" s="152">
        <v>12579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1033</v>
      </c>
      <c r="H60" s="152">
        <v>878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1528</v>
      </c>
      <c r="H61" s="154">
        <f>SUM(H62:H68)</f>
        <v>1679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611-1</f>
        <v>610</v>
      </c>
      <c r="H62" s="152">
        <v>687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183</v>
      </c>
      <c r="D64" s="155">
        <f>SUM(D58:D63)</f>
        <v>175</v>
      </c>
      <c r="E64" s="237" t="s">
        <v>200</v>
      </c>
      <c r="F64" s="242" t="s">
        <v>201</v>
      </c>
      <c r="G64" s="152">
        <f>738+1</f>
        <v>739</v>
      </c>
      <c r="H64" s="152">
        <v>843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126</v>
      </c>
      <c r="H66" s="152">
        <v>119</v>
      </c>
    </row>
    <row r="67" spans="1:8" ht="15">
      <c r="A67" s="235" t="s">
        <v>207</v>
      </c>
      <c r="B67" s="241" t="s">
        <v>208</v>
      </c>
      <c r="C67" s="151">
        <v>638</v>
      </c>
      <c r="D67" s="151">
        <v>472</v>
      </c>
      <c r="E67" s="237" t="s">
        <v>209</v>
      </c>
      <c r="F67" s="242" t="s">
        <v>210</v>
      </c>
      <c r="G67" s="152">
        <v>22</v>
      </c>
      <c r="H67" s="152">
        <v>18</v>
      </c>
    </row>
    <row r="68" spans="1:8" ht="15">
      <c r="A68" s="235" t="s">
        <v>211</v>
      </c>
      <c r="B68" s="241" t="s">
        <v>212</v>
      </c>
      <c r="C68" s="151">
        <v>2744</v>
      </c>
      <c r="D68" s="151">
        <v>2922</v>
      </c>
      <c r="E68" s="237" t="s">
        <v>213</v>
      </c>
      <c r="F68" s="242" t="s">
        <v>214</v>
      </c>
      <c r="G68" s="152">
        <v>31</v>
      </c>
      <c r="H68" s="152">
        <v>12</v>
      </c>
    </row>
    <row r="69" spans="1:8" ht="15">
      <c r="A69" s="235" t="s">
        <v>215</v>
      </c>
      <c r="B69" s="241" t="s">
        <v>216</v>
      </c>
      <c r="C69" s="151">
        <v>4</v>
      </c>
      <c r="D69" s="151"/>
      <c r="E69" s="251" t="s">
        <v>78</v>
      </c>
      <c r="F69" s="242" t="s">
        <v>217</v>
      </c>
      <c r="G69" s="152">
        <v>982</v>
      </c>
      <c r="H69" s="152">
        <v>1082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7205</v>
      </c>
      <c r="H71" s="161">
        <f>H59+H60+H61+H69+H70</f>
        <v>16218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</v>
      </c>
      <c r="D72" s="151">
        <v>98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54</v>
      </c>
      <c r="D74" s="151">
        <v>102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3456</v>
      </c>
      <c r="D75" s="155">
        <f>SUM(D67:D74)</f>
        <v>3594</v>
      </c>
      <c r="E75" s="251" t="s">
        <v>160</v>
      </c>
      <c r="F75" s="245" t="s">
        <v>234</v>
      </c>
      <c r="G75" s="152">
        <f>723+36</f>
        <v>759</v>
      </c>
      <c r="H75" s="152">
        <v>463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7964</v>
      </c>
      <c r="H79" s="162">
        <f>H71+H74+H75+H76</f>
        <v>16681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1600</v>
      </c>
      <c r="D88" s="151">
        <v>773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100</v>
      </c>
      <c r="D89" s="151">
        <v>100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1707</v>
      </c>
      <c r="D91" s="155">
        <f>SUM(D87:D90)</f>
        <v>873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226</v>
      </c>
      <c r="D92" s="151">
        <v>102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5572</v>
      </c>
      <c r="D93" s="155">
        <f>D64+D75+D84+D91+D92</f>
        <v>4744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25832</v>
      </c>
      <c r="D94" s="164">
        <f>D93+D55</f>
        <v>24934</v>
      </c>
      <c r="E94" s="449" t="s">
        <v>270</v>
      </c>
      <c r="F94" s="289" t="s">
        <v>271</v>
      </c>
      <c r="G94" s="165">
        <f>G36+G39+G55+G79</f>
        <v>25832</v>
      </c>
      <c r="H94" s="165">
        <f>H36+H39+H55+H79</f>
        <v>24934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4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24" sqref="A24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5">
        <f>'справка №1-БАЛАНС '!H3</f>
        <v>130786407</v>
      </c>
    </row>
    <row r="3" spans="1:8" ht="15">
      <c r="A3" s="467" t="s">
        <v>275</v>
      </c>
      <c r="B3" s="584" t="str">
        <f>'справка №1-БАЛАНС '!E4</f>
        <v>консолидиран</v>
      </c>
      <c r="C3" s="584"/>
      <c r="D3" s="584"/>
      <c r="E3" s="584"/>
      <c r="F3" s="545" t="s">
        <v>4</v>
      </c>
      <c r="G3" s="526"/>
      <c r="H3" s="526">
        <f>'справка №1-БАЛАНС '!H4</f>
        <v>0</v>
      </c>
    </row>
    <row r="4" spans="1:8" ht="17.25" customHeight="1">
      <c r="A4" s="467" t="s">
        <v>5</v>
      </c>
      <c r="B4" s="585" t="str">
        <f>'справка №1-БАЛАНС '!E5</f>
        <v>към 31.12.2007 година</v>
      </c>
      <c r="C4" s="585"/>
      <c r="D4" s="585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260</v>
      </c>
      <c r="D9" s="46">
        <v>304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f>4608-1960</f>
        <v>2648</v>
      </c>
      <c r="D10" s="46">
        <v>2878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1347</v>
      </c>
      <c r="D11" s="46">
        <v>1253</v>
      </c>
      <c r="E11" s="300" t="s">
        <v>293</v>
      </c>
      <c r="F11" s="548" t="s">
        <v>294</v>
      </c>
      <c r="G11" s="549">
        <v>8060</v>
      </c>
      <c r="H11" s="549">
        <v>8090</v>
      </c>
    </row>
    <row r="12" spans="1:8" ht="12">
      <c r="A12" s="298" t="s">
        <v>295</v>
      </c>
      <c r="B12" s="299" t="s">
        <v>296</v>
      </c>
      <c r="C12" s="46">
        <v>1601</v>
      </c>
      <c r="D12" s="46">
        <v>1436</v>
      </c>
      <c r="E12" s="300" t="s">
        <v>78</v>
      </c>
      <c r="F12" s="548" t="s">
        <v>297</v>
      </c>
      <c r="G12" s="549">
        <v>80</v>
      </c>
      <c r="H12" s="549">
        <v>90</v>
      </c>
    </row>
    <row r="13" spans="1:18" ht="12">
      <c r="A13" s="298" t="s">
        <v>298</v>
      </c>
      <c r="B13" s="299" t="s">
        <v>299</v>
      </c>
      <c r="C13" s="46">
        <v>283</v>
      </c>
      <c r="D13" s="46">
        <v>246</v>
      </c>
      <c r="E13" s="301" t="s">
        <v>51</v>
      </c>
      <c r="F13" s="550" t="s">
        <v>300</v>
      </c>
      <c r="G13" s="547">
        <f>SUM(G9:G12)</f>
        <v>8140</v>
      </c>
      <c r="H13" s="547">
        <f>SUM(H9:H12)</f>
        <v>8180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2028</v>
      </c>
      <c r="D16" s="47">
        <v>664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>
        <v>1879</v>
      </c>
      <c r="D17" s="48">
        <v>475</v>
      </c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8167</v>
      </c>
      <c r="D19" s="49">
        <f>SUM(D9:D15)+D16</f>
        <v>6781</v>
      </c>
      <c r="E19" s="304" t="s">
        <v>317</v>
      </c>
      <c r="F19" s="551" t="s">
        <v>318</v>
      </c>
      <c r="G19" s="549">
        <v>8</v>
      </c>
      <c r="H19" s="549">
        <v>34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f>420+512</f>
        <v>932</v>
      </c>
      <c r="H21" s="549"/>
    </row>
    <row r="22" spans="1:8" ht="24">
      <c r="A22" s="304" t="s">
        <v>324</v>
      </c>
      <c r="B22" s="305" t="s">
        <v>325</v>
      </c>
      <c r="C22" s="46">
        <f>175+1918</f>
        <v>2093</v>
      </c>
      <c r="D22" s="46">
        <v>1570</v>
      </c>
      <c r="E22" s="304" t="s">
        <v>326</v>
      </c>
      <c r="F22" s="551" t="s">
        <v>327</v>
      </c>
      <c r="G22" s="549">
        <v>14</v>
      </c>
      <c r="H22" s="549">
        <v>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>
        <v>1</v>
      </c>
    </row>
    <row r="24" spans="1:18" ht="12">
      <c r="A24" s="298" t="s">
        <v>332</v>
      </c>
      <c r="B24" s="305" t="s">
        <v>333</v>
      </c>
      <c r="C24" s="46">
        <f>48+42</f>
        <v>90</v>
      </c>
      <c r="D24" s="46">
        <v>39</v>
      </c>
      <c r="E24" s="301" t="s">
        <v>103</v>
      </c>
      <c r="F24" s="553" t="s">
        <v>334</v>
      </c>
      <c r="G24" s="547">
        <f>SUM(G19:G23)</f>
        <v>954</v>
      </c>
      <c r="H24" s="547">
        <f>SUM(H19:H23)</f>
        <v>41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26</v>
      </c>
      <c r="D25" s="46">
        <v>111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2209</v>
      </c>
      <c r="D26" s="49">
        <f>SUM(D22:D25)</f>
        <v>1720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10376</v>
      </c>
      <c r="D28" s="50">
        <f>D26+D19</f>
        <v>8501</v>
      </c>
      <c r="E28" s="127" t="s">
        <v>339</v>
      </c>
      <c r="F28" s="553" t="s">
        <v>340</v>
      </c>
      <c r="G28" s="547">
        <f>G13+G15+G24</f>
        <v>9094</v>
      </c>
      <c r="H28" s="547">
        <f>H13+H15+H24</f>
        <v>8221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1282</v>
      </c>
      <c r="H30" s="53">
        <f>IF((D28-H28)&gt;0,D28-H28,0)</f>
        <v>280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345</v>
      </c>
      <c r="C31" s="46"/>
      <c r="D31" s="46"/>
      <c r="E31" s="296" t="s">
        <v>853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10376</v>
      </c>
      <c r="D33" s="49">
        <f>D28+D31+D32</f>
        <v>8501</v>
      </c>
      <c r="E33" s="127" t="s">
        <v>353</v>
      </c>
      <c r="F33" s="553" t="s">
        <v>354</v>
      </c>
      <c r="G33" s="53">
        <f>G32+G31+G28</f>
        <v>9094</v>
      </c>
      <c r="H33" s="53">
        <f>H32+H31+H28</f>
        <v>8221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1282</v>
      </c>
      <c r="H34" s="547">
        <f>IF((D33-H33)&gt;0,D33-H33,0)</f>
        <v>280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-71</v>
      </c>
      <c r="D35" s="49">
        <f>D36+D37+D38</f>
        <v>-27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>
        <v>18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>
        <v>-71</v>
      </c>
      <c r="D37" s="430">
        <v>-45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1211</v>
      </c>
      <c r="H39" s="558">
        <f>IF(H34&gt;0,IF(D35+H34&lt;0,0,D35+H34),IF(D34-D35&lt;0,D35-D34,0))</f>
        <v>253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1211</v>
      </c>
      <c r="H41" s="52">
        <f>IF(D39=0,IF(H39-H40&gt;0,H39-H40+D40,0),IF(D39-D40&lt;0,D40-D39+H40,0))</f>
        <v>253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10305</v>
      </c>
      <c r="D42" s="53">
        <f>D33+D35+D39</f>
        <v>8474</v>
      </c>
      <c r="E42" s="128" t="s">
        <v>380</v>
      </c>
      <c r="F42" s="129" t="s">
        <v>381</v>
      </c>
      <c r="G42" s="53">
        <f>G39+G33</f>
        <v>10305</v>
      </c>
      <c r="H42" s="53">
        <f>H39+H33</f>
        <v>8474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39505</v>
      </c>
      <c r="C48" s="427" t="s">
        <v>382</v>
      </c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862</v>
      </c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3"/>
      <c r="E50" s="583"/>
      <c r="F50" s="583"/>
      <c r="G50" s="583"/>
      <c r="H50" s="583"/>
    </row>
    <row r="51" spans="1:8" ht="12">
      <c r="A51" s="563"/>
      <c r="B51" s="559"/>
      <c r="C51" s="425"/>
      <c r="D51" s="425" t="s">
        <v>866</v>
      </c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5" zoomScaleNormal="95" zoomScalePageLayoutView="0" workbookViewId="0" topLeftCell="A1">
      <selection activeCell="A15" sqref="A1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 '!E3</f>
        <v>Транскарт АД</v>
      </c>
      <c r="C4" s="540" t="s">
        <v>2</v>
      </c>
      <c r="D4" s="540">
        <f>'справка №1-БАЛАНС '!H3</f>
        <v>130786407</v>
      </c>
      <c r="E4" s="323"/>
      <c r="F4" s="323"/>
    </row>
    <row r="5" spans="1:4" ht="15">
      <c r="A5" s="470" t="s">
        <v>275</v>
      </c>
      <c r="B5" s="470" t="str">
        <f>'справка №1-БАЛАНС '!E4</f>
        <v>консолидиран</v>
      </c>
      <c r="C5" s="541" t="s">
        <v>4</v>
      </c>
      <c r="D5" s="540">
        <f>'справка №1-БАЛАНС '!H4</f>
        <v>0</v>
      </c>
    </row>
    <row r="6" spans="1:6" ht="12" customHeight="1">
      <c r="A6" s="471" t="s">
        <v>5</v>
      </c>
      <c r="B6" s="505" t="str">
        <f>'справка №1-БАЛАНС '!E5</f>
        <v>към 31.12.2007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4575</v>
      </c>
      <c r="D10" s="54">
        <v>25679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-4923</v>
      </c>
      <c r="D11" s="54">
        <v>-14077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-1636</v>
      </c>
      <c r="D13" s="54">
        <v>-1510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-10</v>
      </c>
      <c r="D15" s="54">
        <v>-43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2273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-1448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349</v>
      </c>
      <c r="D19" s="54">
        <v>-13659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-820</v>
      </c>
      <c r="D20" s="55">
        <f>SUM(D10:D19)</f>
        <v>-3610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-155</v>
      </c>
      <c r="D22" s="54">
        <v>-541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-2000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-155</v>
      </c>
      <c r="D32" s="55">
        <f>SUM(D22:D31)</f>
        <v>-2541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2000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72661</v>
      </c>
      <c r="D36" s="54">
        <v>48187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-69819</v>
      </c>
      <c r="D37" s="54">
        <v>-42704</v>
      </c>
      <c r="E37" s="130"/>
      <c r="F37" s="130"/>
    </row>
    <row r="38" spans="1:6" ht="12">
      <c r="A38" s="332" t="s">
        <v>440</v>
      </c>
      <c r="B38" s="333" t="s">
        <v>441</v>
      </c>
      <c r="C38" s="54">
        <v>-963</v>
      </c>
      <c r="D38" s="54">
        <v>-1005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-70</v>
      </c>
      <c r="D41" s="54">
        <v>-9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1809</v>
      </c>
      <c r="D42" s="55">
        <f>SUM(D34:D41)</f>
        <v>6469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834</v>
      </c>
      <c r="D43" s="55">
        <f>D42+D32+D20</f>
        <v>318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773</v>
      </c>
      <c r="D44" s="132">
        <v>455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1607</v>
      </c>
      <c r="D45" s="55">
        <f>D44+D43</f>
        <v>773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92913385826772" right="0.2755905511811024" top="1.1023622047244095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1" sqref="I11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 '!H3</f>
        <v>130786407</v>
      </c>
      <c r="N3" s="2"/>
    </row>
    <row r="4" spans="1:15" s="531" customFormat="1" ht="13.5" customHeight="1">
      <c r="A4" s="467" t="s">
        <v>461</v>
      </c>
      <c r="B4" s="591" t="str">
        <f>'справка №1-БАЛАНС 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 '!H4</f>
        <v>0</v>
      </c>
      <c r="N4" s="3"/>
      <c r="O4" s="3"/>
    </row>
    <row r="5" spans="1:14" s="531" customFormat="1" ht="12.75" customHeight="1">
      <c r="A5" s="467" t="s">
        <v>5</v>
      </c>
      <c r="B5" s="595" t="str">
        <f>'справка №1-БАЛАНС '!E5</f>
        <v>към 31.12.2007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191</v>
      </c>
      <c r="J11" s="58">
        <f>'справка №1-БАЛАНС '!H29+'справка №1-БАЛАНС '!H32</f>
        <v>-6416</v>
      </c>
      <c r="K11" s="60"/>
      <c r="L11" s="344">
        <f>SUM(C11:K11)</f>
        <v>775</v>
      </c>
      <c r="M11" s="58">
        <f>'справка №1-БАЛАНС 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191</v>
      </c>
      <c r="J15" s="61">
        <f t="shared" si="2"/>
        <v>-6416</v>
      </c>
      <c r="K15" s="61">
        <f t="shared" si="2"/>
        <v>0</v>
      </c>
      <c r="L15" s="344">
        <f t="shared" si="1"/>
        <v>775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-1211</v>
      </c>
      <c r="K16" s="60"/>
      <c r="L16" s="344">
        <f t="shared" si="1"/>
        <v>-1211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191</v>
      </c>
      <c r="J29" s="59">
        <f t="shared" si="6"/>
        <v>-7627</v>
      </c>
      <c r="K29" s="59">
        <f t="shared" si="6"/>
        <v>0</v>
      </c>
      <c r="L29" s="344">
        <f t="shared" si="1"/>
        <v>-436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191</v>
      </c>
      <c r="J32" s="59">
        <f t="shared" si="7"/>
        <v>-7627</v>
      </c>
      <c r="K32" s="59">
        <f t="shared" si="7"/>
        <v>0</v>
      </c>
      <c r="L32" s="344">
        <f t="shared" si="1"/>
        <v>-436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863</v>
      </c>
      <c r="K38" s="15"/>
      <c r="L38" s="590"/>
      <c r="M38" s="590"/>
      <c r="N38" s="11"/>
    </row>
    <row r="39" spans="1:13" ht="12">
      <c r="A39" s="535"/>
      <c r="B39" s="536"/>
      <c r="C39" s="537"/>
      <c r="D39" s="537"/>
      <c r="E39" s="537" t="s">
        <v>862</v>
      </c>
      <c r="F39" s="537"/>
      <c r="G39" s="537"/>
      <c r="H39" s="537"/>
      <c r="I39" s="537"/>
      <c r="J39" s="537"/>
      <c r="K39" s="537" t="s">
        <v>866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25" sqref="A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 '!E3</f>
        <v>Транскарт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 '!H3</f>
        <v>130786407</v>
      </c>
      <c r="P2" s="483"/>
      <c r="Q2" s="483"/>
      <c r="R2" s="525"/>
    </row>
    <row r="3" spans="1:18" ht="15">
      <c r="A3" s="596" t="s">
        <v>5</v>
      </c>
      <c r="B3" s="597"/>
      <c r="C3" s="599" t="str">
        <f>'справка №1-БАЛАНС '!E5</f>
        <v>към 31.12.2007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 '!H4</f>
        <v>0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3"/>
      <c r="B6" s="604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6063+1+1</f>
        <v>6065</v>
      </c>
      <c r="E11" s="189">
        <f>70+1</f>
        <v>71</v>
      </c>
      <c r="F11" s="189">
        <v>69</v>
      </c>
      <c r="G11" s="74">
        <f t="shared" si="2"/>
        <v>6067</v>
      </c>
      <c r="H11" s="65"/>
      <c r="I11" s="65"/>
      <c r="J11" s="74">
        <f t="shared" si="3"/>
        <v>6067</v>
      </c>
      <c r="K11" s="65">
        <v>2427</v>
      </c>
      <c r="L11" s="65">
        <f>1151+1</f>
        <v>1152</v>
      </c>
      <c r="M11" s="65">
        <f>52+1</f>
        <v>53</v>
      </c>
      <c r="N11" s="74">
        <f t="shared" si="4"/>
        <v>3526</v>
      </c>
      <c r="O11" s="65"/>
      <c r="P11" s="65"/>
      <c r="Q11" s="74">
        <f t="shared" si="0"/>
        <v>3526</v>
      </c>
      <c r="R11" s="74">
        <f t="shared" si="1"/>
        <v>2541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32</v>
      </c>
      <c r="E13" s="189"/>
      <c r="F13" s="189"/>
      <c r="G13" s="74">
        <f t="shared" si="2"/>
        <v>32</v>
      </c>
      <c r="H13" s="65"/>
      <c r="I13" s="65"/>
      <c r="J13" s="74">
        <f t="shared" si="3"/>
        <v>32</v>
      </c>
      <c r="K13" s="65">
        <v>29</v>
      </c>
      <c r="L13" s="65">
        <v>3</v>
      </c>
      <c r="M13" s="65"/>
      <c r="N13" s="74">
        <f t="shared" si="4"/>
        <v>32</v>
      </c>
      <c r="O13" s="65"/>
      <c r="P13" s="65"/>
      <c r="Q13" s="74">
        <f t="shared" si="0"/>
        <v>32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110</v>
      </c>
      <c r="E14" s="189">
        <f>12+1</f>
        <v>13</v>
      </c>
      <c r="F14" s="189"/>
      <c r="G14" s="74">
        <f t="shared" si="2"/>
        <v>123</v>
      </c>
      <c r="H14" s="65"/>
      <c r="I14" s="65"/>
      <c r="J14" s="74">
        <f t="shared" si="3"/>
        <v>123</v>
      </c>
      <c r="K14" s="65">
        <v>45</v>
      </c>
      <c r="L14" s="65">
        <v>17</v>
      </c>
      <c r="M14" s="65"/>
      <c r="N14" s="74">
        <f t="shared" si="4"/>
        <v>62</v>
      </c>
      <c r="O14" s="65"/>
      <c r="P14" s="65"/>
      <c r="Q14" s="74">
        <f t="shared" si="0"/>
        <v>62</v>
      </c>
      <c r="R14" s="74">
        <f t="shared" si="1"/>
        <v>61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6207</v>
      </c>
      <c r="E17" s="194">
        <f>SUM(E9:E16)</f>
        <v>84</v>
      </c>
      <c r="F17" s="194">
        <f>SUM(F9:F16)</f>
        <v>69</v>
      </c>
      <c r="G17" s="74">
        <f t="shared" si="2"/>
        <v>6222</v>
      </c>
      <c r="H17" s="75">
        <f>SUM(H9:H16)</f>
        <v>0</v>
      </c>
      <c r="I17" s="75">
        <f>SUM(I9:I16)</f>
        <v>0</v>
      </c>
      <c r="J17" s="74">
        <f t="shared" si="3"/>
        <v>6222</v>
      </c>
      <c r="K17" s="75">
        <f>SUM(K9:K16)</f>
        <v>2501</v>
      </c>
      <c r="L17" s="75">
        <f>SUM(L9:L16)</f>
        <v>1172</v>
      </c>
      <c r="M17" s="75">
        <f>SUM(M9:M16)</f>
        <v>53</v>
      </c>
      <c r="N17" s="74">
        <f t="shared" si="4"/>
        <v>3620</v>
      </c>
      <c r="O17" s="75">
        <f>SUM(O9:O16)</f>
        <v>0</v>
      </c>
      <c r="P17" s="75">
        <f>SUM(P9:P16)</f>
        <v>0</v>
      </c>
      <c r="Q17" s="74">
        <f t="shared" si="5"/>
        <v>3620</v>
      </c>
      <c r="R17" s="74">
        <f t="shared" si="6"/>
        <v>2602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94+58</f>
        <v>152</v>
      </c>
      <c r="E21" s="189">
        <f>9+59</f>
        <v>68</v>
      </c>
      <c r="F21" s="189"/>
      <c r="G21" s="74">
        <f t="shared" si="2"/>
        <v>220</v>
      </c>
      <c r="H21" s="65"/>
      <c r="I21" s="65"/>
      <c r="J21" s="74">
        <f t="shared" si="3"/>
        <v>220</v>
      </c>
      <c r="K21" s="65">
        <f>48+4</f>
        <v>52</v>
      </c>
      <c r="L21" s="65">
        <f>15+6</f>
        <v>21</v>
      </c>
      <c r="M21" s="65"/>
      <c r="N21" s="74">
        <f t="shared" si="4"/>
        <v>73</v>
      </c>
      <c r="O21" s="65"/>
      <c r="P21" s="65"/>
      <c r="Q21" s="74">
        <f t="shared" si="5"/>
        <v>73</v>
      </c>
      <c r="R21" s="74">
        <f t="shared" si="6"/>
        <v>147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f>782+2</f>
        <v>784</v>
      </c>
      <c r="E22" s="189"/>
      <c r="F22" s="189"/>
      <c r="G22" s="74">
        <f t="shared" si="2"/>
        <v>784</v>
      </c>
      <c r="H22" s="65"/>
      <c r="I22" s="65"/>
      <c r="J22" s="74">
        <f t="shared" si="3"/>
        <v>784</v>
      </c>
      <c r="K22" s="65">
        <v>463</v>
      </c>
      <c r="L22" s="65">
        <f>153+1</f>
        <v>154</v>
      </c>
      <c r="M22" s="65"/>
      <c r="N22" s="74">
        <f t="shared" si="4"/>
        <v>617</v>
      </c>
      <c r="O22" s="65"/>
      <c r="P22" s="65"/>
      <c r="Q22" s="74">
        <f t="shared" si="5"/>
        <v>617</v>
      </c>
      <c r="R22" s="74">
        <f t="shared" si="6"/>
        <v>167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936</v>
      </c>
      <c r="E25" s="190">
        <f aca="true" t="shared" si="7" ref="E25:P25">SUM(E21:E24)</f>
        <v>68</v>
      </c>
      <c r="F25" s="190">
        <f t="shared" si="7"/>
        <v>0</v>
      </c>
      <c r="G25" s="67">
        <f t="shared" si="2"/>
        <v>1004</v>
      </c>
      <c r="H25" s="66">
        <f t="shared" si="7"/>
        <v>0</v>
      </c>
      <c r="I25" s="66">
        <f t="shared" si="7"/>
        <v>0</v>
      </c>
      <c r="J25" s="67">
        <f t="shared" si="3"/>
        <v>1004</v>
      </c>
      <c r="K25" s="66">
        <f t="shared" si="7"/>
        <v>515</v>
      </c>
      <c r="L25" s="66">
        <f t="shared" si="7"/>
        <v>175</v>
      </c>
      <c r="M25" s="66">
        <f t="shared" si="7"/>
        <v>0</v>
      </c>
      <c r="N25" s="67">
        <f t="shared" si="4"/>
        <v>690</v>
      </c>
      <c r="O25" s="66">
        <f t="shared" si="7"/>
        <v>0</v>
      </c>
      <c r="P25" s="66">
        <f t="shared" si="7"/>
        <v>0</v>
      </c>
      <c r="Q25" s="67">
        <f t="shared" si="5"/>
        <v>690</v>
      </c>
      <c r="R25" s="67">
        <f t="shared" si="6"/>
        <v>314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7143</v>
      </c>
      <c r="E40" s="438">
        <f>E17+E18+E19+E25+E38+E39</f>
        <v>152</v>
      </c>
      <c r="F40" s="438">
        <f aca="true" t="shared" si="13" ref="F40:R40">F17+F18+F19+F25+F38+F39</f>
        <v>69</v>
      </c>
      <c r="G40" s="438">
        <f t="shared" si="13"/>
        <v>7226</v>
      </c>
      <c r="H40" s="438">
        <f t="shared" si="13"/>
        <v>0</v>
      </c>
      <c r="I40" s="438">
        <f t="shared" si="13"/>
        <v>0</v>
      </c>
      <c r="J40" s="438">
        <f t="shared" si="13"/>
        <v>7226</v>
      </c>
      <c r="K40" s="438">
        <f t="shared" si="13"/>
        <v>3016</v>
      </c>
      <c r="L40" s="438">
        <f t="shared" si="13"/>
        <v>1347</v>
      </c>
      <c r="M40" s="438">
        <f t="shared" si="13"/>
        <v>53</v>
      </c>
      <c r="N40" s="438">
        <f t="shared" si="13"/>
        <v>4310</v>
      </c>
      <c r="O40" s="438">
        <f t="shared" si="13"/>
        <v>0</v>
      </c>
      <c r="P40" s="438">
        <f t="shared" si="13"/>
        <v>0</v>
      </c>
      <c r="Q40" s="438">
        <f t="shared" si="13"/>
        <v>4310</v>
      </c>
      <c r="R40" s="438">
        <f t="shared" si="13"/>
        <v>2916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11"/>
      <c r="L44" s="611"/>
      <c r="M44" s="611"/>
      <c r="N44" s="611"/>
      <c r="O44" s="605" t="s">
        <v>780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2" sqref="D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18" t="str">
        <f>'справка №1-БАЛАНС '!E3</f>
        <v>Транскарт АД</v>
      </c>
      <c r="C3" s="619"/>
      <c r="D3" s="525" t="s">
        <v>2</v>
      </c>
      <c r="E3" s="107">
        <f>'справка №1-БАЛАНС '!H3</f>
        <v>130786407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 '!E5</f>
        <v>към 31.12.2007 година</v>
      </c>
      <c r="C4" s="617"/>
      <c r="D4" s="526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340</v>
      </c>
      <c r="D15" s="108">
        <v>340</v>
      </c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14925</v>
      </c>
      <c r="D16" s="119">
        <f>+D17+D18</f>
        <v>14925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>
        <v>14925</v>
      </c>
      <c r="D18" s="108">
        <v>14925</v>
      </c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15265</v>
      </c>
      <c r="D19" s="104">
        <f>D11+D15+D16</f>
        <v>15265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638</v>
      </c>
      <c r="D24" s="119">
        <f>SUM(D25:D27)</f>
        <v>638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v>473</v>
      </c>
      <c r="D25" s="108">
        <v>473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f>638-473</f>
        <v>165</v>
      </c>
      <c r="D26" s="108">
        <v>165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2744</v>
      </c>
      <c r="D28" s="108">
        <v>2744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4</v>
      </c>
      <c r="D29" s="108">
        <v>4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12</v>
      </c>
      <c r="D34" s="108">
        <v>12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4</v>
      </c>
      <c r="D37" s="108">
        <v>4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54</v>
      </c>
      <c r="D38" s="105">
        <f>SUM(D39:D42)</f>
        <v>54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54</v>
      </c>
      <c r="D42" s="108">
        <v>54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3456</v>
      </c>
      <c r="D43" s="104">
        <f>D24+D28+D29+D31+D30+D32+D33+D38</f>
        <v>3456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18721</v>
      </c>
      <c r="D44" s="103">
        <f>D43+D21+D19+D9</f>
        <v>18721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9001</v>
      </c>
      <c r="D52" s="103">
        <f>SUM(D53:D55)</f>
        <v>9001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9001</v>
      </c>
      <c r="D53" s="108">
        <v>9001</v>
      </c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8392</v>
      </c>
      <c r="D56" s="103">
        <f>D57+D59</f>
        <v>8392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8392</v>
      </c>
      <c r="D57" s="108">
        <v>8392</v>
      </c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>
        <v>884</v>
      </c>
      <c r="D62" s="108">
        <v>884</v>
      </c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18277</v>
      </c>
      <c r="D66" s="103">
        <f>D52+D56+D61+D62+D63+D64</f>
        <v>18277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27</v>
      </c>
      <c r="D68" s="108">
        <v>27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610</v>
      </c>
      <c r="D71" s="105">
        <f>SUM(D72:D74)</f>
        <v>610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610</v>
      </c>
      <c r="D72" s="108">
        <v>610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3662</v>
      </c>
      <c r="D75" s="103">
        <f>D76+D78</f>
        <v>3662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>
        <v>3662</v>
      </c>
      <c r="D78" s="108">
        <v>3662</v>
      </c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1033</v>
      </c>
      <c r="D80" s="103">
        <f>SUM(D81:D84)</f>
        <v>1033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>
        <v>1033</v>
      </c>
      <c r="D84" s="108">
        <v>1033</v>
      </c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918</v>
      </c>
      <c r="D85" s="104">
        <f>SUM(D86:D90)+D94</f>
        <v>918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f>738+1</f>
        <v>739</v>
      </c>
      <c r="D87" s="108">
        <v>739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126</v>
      </c>
      <c r="D89" s="108">
        <v>126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31</v>
      </c>
      <c r="D90" s="103">
        <f>SUM(D91:D93)</f>
        <v>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30</v>
      </c>
      <c r="D92" s="108">
        <v>30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22</v>
      </c>
      <c r="D94" s="108">
        <v>22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982</v>
      </c>
      <c r="D95" s="108">
        <v>982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7205</v>
      </c>
      <c r="D96" s="104">
        <f>D85+D80+D75+D71+D95</f>
        <v>7205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25509</v>
      </c>
      <c r="D97" s="104">
        <f>D96+D68+D66</f>
        <v>25509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16" sqref="A16:IV16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500">
        <f>'справка №1-БАЛАНС '!H3</f>
        <v>130786407</v>
      </c>
    </row>
    <row r="5" spans="1:9" ht="15">
      <c r="A5" s="501" t="s">
        <v>5</v>
      </c>
      <c r="B5" s="621" t="str">
        <f>'справка №1-БАЛАНС '!E5</f>
        <v>към 31.12.2007 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 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>
        <v>2000</v>
      </c>
      <c r="D16" s="98"/>
      <c r="E16" s="98"/>
      <c r="F16" s="98">
        <v>2000</v>
      </c>
      <c r="G16" s="98">
        <v>79</v>
      </c>
      <c r="H16" s="98"/>
      <c r="I16" s="434">
        <f t="shared" si="0"/>
        <v>2079</v>
      </c>
    </row>
    <row r="17" spans="1:9" s="520" customFormat="1" ht="12">
      <c r="A17" s="91" t="s">
        <v>564</v>
      </c>
      <c r="B17" s="92" t="s">
        <v>801</v>
      </c>
      <c r="C17" s="85">
        <f aca="true" t="shared" si="1" ref="C17:H17">C12+C13+C15+C16</f>
        <v>2000</v>
      </c>
      <c r="D17" s="85">
        <f t="shared" si="1"/>
        <v>0</v>
      </c>
      <c r="E17" s="85">
        <f t="shared" si="1"/>
        <v>0</v>
      </c>
      <c r="F17" s="85">
        <f t="shared" si="1"/>
        <v>2000</v>
      </c>
      <c r="G17" s="85">
        <f t="shared" si="1"/>
        <v>79</v>
      </c>
      <c r="H17" s="85">
        <f t="shared" si="1"/>
        <v>0</v>
      </c>
      <c r="I17" s="434">
        <f t="shared" si="0"/>
        <v>2079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871</v>
      </c>
      <c r="B30" s="623"/>
      <c r="C30" s="623"/>
      <c r="D30" s="459" t="s">
        <v>818</v>
      </c>
      <c r="E30" s="622"/>
      <c r="F30" s="622"/>
      <c r="G30" s="622"/>
      <c r="H30" s="420" t="s">
        <v>780</v>
      </c>
      <c r="I30" s="622"/>
      <c r="J30" s="622"/>
    </row>
    <row r="31" spans="1:9" s="520" customFormat="1" ht="12">
      <c r="A31" s="349"/>
      <c r="B31" s="388"/>
      <c r="C31" s="349"/>
      <c r="D31" s="522" t="s">
        <v>862</v>
      </c>
      <c r="E31" s="522"/>
      <c r="F31" s="522"/>
      <c r="G31" s="522"/>
      <c r="H31" s="522" t="s">
        <v>866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7" right="0.55" top="0.5511811023622047" bottom="0.4724409448818898" header="0.5118110236220472" footer="0.5118110236220472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9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31.12.2007 година</v>
      </c>
      <c r="C6" s="628"/>
      <c r="D6" s="509"/>
      <c r="E6" s="568" t="s">
        <v>4</v>
      </c>
      <c r="F6" s="510">
        <f>'справка №1-БАЛАНС '!H4</f>
        <v>0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871</v>
      </c>
      <c r="B151" s="453"/>
      <c r="C151" s="514" t="s">
        <v>382</v>
      </c>
      <c r="D151" s="514"/>
      <c r="E151" s="514" t="s">
        <v>780</v>
      </c>
    </row>
    <row r="152" spans="1:6" ht="12.75">
      <c r="A152" s="516"/>
      <c r="B152" s="517"/>
      <c r="C152" s="516" t="s">
        <v>862</v>
      </c>
      <c r="D152" s="516"/>
      <c r="E152" s="516" t="s">
        <v>866</v>
      </c>
      <c r="F152" s="516"/>
    </row>
    <row r="153" spans="1:2" ht="12.75">
      <c r="A153" s="516"/>
      <c r="B153" s="517"/>
    </row>
    <row r="154" ht="12.75">
      <c r="E154" s="516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4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StanevaH</cp:lastModifiedBy>
  <cp:lastPrinted>2008-02-28T13:29:17Z</cp:lastPrinted>
  <dcterms:created xsi:type="dcterms:W3CDTF">2000-06-29T12:02:40Z</dcterms:created>
  <dcterms:modified xsi:type="dcterms:W3CDTF">2008-02-29T12:32:07Z</dcterms:modified>
  <cp:category/>
  <cp:version/>
  <cp:contentType/>
  <cp:contentStatus/>
</cp:coreProperties>
</file>