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<sst xmlns="http://schemas.openxmlformats.org/spreadsheetml/2006/main" count="1054" uniqueCount="869">
  <si>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</si>
  <si>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</si>
  <si>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</si>
  <si>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</si>
  <si>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</si>
  <si>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</si>
  <si>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</si>
  <si>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</si>
  <si>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</si>
  <si>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</si>
  <si>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</si>
  <si>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</si>
  <si>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</si>
  <si>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</si>
  <si>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</si>
  <si>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</si>
  <si>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</si>
  <si>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</si>
  <si>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</si>
  <si>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</si>
  <si>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</si>
  <si>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</si>
  <si>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</si>
  <si>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</si>
  <si>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</si>
  <si>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</si>
  <si>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</si>
  <si>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</si>
  <si>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</si>
  <si>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</si>
  <si>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</si>
  <si>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</si>
  <si>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</si>
  <si>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</si>
  <si>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</si>
  <si>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</si>
  <si>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</si>
  <si>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</si>
  <si>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</si>
  <si>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</si>
  <si>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</si>
  <si>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</si>
  <si>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</si>
  <si>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</si>
  <si>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</si>
  <si>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</si>
  <si>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</si>
  <si>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</si>
  <si>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</si>
  <si>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</si>
  <si>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</si>
  <si>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</si>
  <si>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</si>
  <si>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</si>
  <si>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</si>
  <si>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</si>
  <si>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</si>
  <si>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</si>
  <si>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</si>
  <si>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</si>
  <si>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</si>
  <si>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</si>
  <si>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</si>
  <si>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</si>
  <si>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</si>
  <si>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</si>
  <si>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</si>
  <si>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</si>
  <si>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</si>
  <si>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</si>
  <si>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</si>
  <si>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</si>
  <si>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</si>
  <si>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</si>
  <si>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</si>
  <si>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</si>
  <si>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</si>
  <si>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</si>
  <si>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</si>
  <si>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</si>
  <si>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</si>
  <si>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</si>
  <si>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</si>
  <si>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</si>
  <si>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</si>
  <si>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</si>
  <si>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</si>
  <si>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</si>
  <si>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</si>
  <si>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</si>
  <si>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</si>
  <si>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</si>
  <si>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</si>
  <si>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</si>
  <si>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</si>
  <si>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</si>
  <si>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</si>
  <si>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</si>
  <si>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</si>
  <si>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</si>
  <si>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</si>
  <si>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</si>
  <si>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</si>
  <si>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</si>
  <si>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</si>
  <si>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</si>
  <si>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</si>
  <si>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</si>
  <si>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</si>
  <si>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</si>
  <si>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</si>
  <si>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</si>
  <si>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</si>
  <si>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</si>
  <si>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</si>
  <si>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</si>
  <si>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</si>
  <si>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</si>
  <si>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</si>
  <si>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</si>
  <si>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</si>
  <si>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</si>
  <si>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</si>
  <si>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</si>
  <si>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</si>
  <si>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</si>
  <si>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</si>
  <si>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</si>
  <si>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</si>
  <si>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</si>
  <si>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</si>
  <si>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</si>
  <si>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</si>
  <si>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</si>
  <si>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</si>
  <si>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</si>
  <si>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</si>
  <si>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</si>
  <si>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</si>
  <si>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</si>
  <si>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</si>
  <si>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</si>
  <si>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</si>
  <si>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</si>
  <si>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</si>
  <si>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</si>
  <si>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</si>
  <si>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</si>
  <si>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</si>
  <si>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</si>
  <si>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</si>
  <si>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</si>
  <si>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</si>
  <si>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</si>
  <si>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</si>
  <si>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</si>
  <si>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</si>
  <si>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</si>
  <si>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</si>
  <si>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</si>
  <si>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</si>
  <si>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</si>
  <si>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</si>
  <si>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</si>
  <si>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</si>
  <si>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</si>
  <si>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</si>
  <si>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</si>
  <si>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</si>
  <si>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</si>
  <si>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</si>
  <si>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</si>
  <si>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</si>
  <si>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</si>
  <si>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</si>
  <si>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</si>
  <si>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</si>
  <si>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</si>
  <si>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</si>
  <si>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</si>
  <si>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</si>
  <si>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</si>
  <si>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</si>
  <si>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</si>
  <si>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</si>
  <si>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</si>
  <si>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</si>
  <si>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</si>
  <si>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</si>
  <si>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</si>
  <si>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</si>
  <si>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</si>
  <si>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</si>
  <si>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</si>
  <si>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</si>
  <si>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</si>
  <si>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</si>
  <si>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</si>
  <si>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</si>
  <si>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</si>
  <si>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</si>
  <si>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</si>
  <si>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</si>
  <si>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</si>
  <si>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</si>
  <si>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</si>
  <si>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</si>
  <si>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</si>
  <si>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</si>
  <si>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</si>
  <si>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</si>
  <si>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</si>
  <si>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</si>
  <si>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</si>
  <si>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</si>
  <si>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</si>
  <si>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</si>
  <si>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</si>
  <si>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</si>
  <si>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</si>
  <si>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</si>
  <si>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</si>
  <si>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</si>
  <si>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</si>
  <si>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</si>
  <si>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</si>
  <si>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</si>
  <si>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</si>
  <si>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</si>
  <si>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</si>
  <si>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</si>
  <si>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</si>
  <si>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</si>
  <si>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</si>
  <si>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</si>
  <si>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</si>
  <si>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</si>
  <si>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</si>
  <si>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</si>
  <si>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</si>
  <si>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</si>
  <si>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</si>
  <si>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</si>
  <si>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</si>
  <si>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</si>
  <si>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</si>
  <si>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</si>
  <si>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</si>
  <si>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</si>
  <si>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</si>
  <si>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</si>
  <si>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</si>
  <si>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</si>
  <si>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</si>
  <si>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</si>
  <si>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</si>
  <si>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</si>
  <si>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</si>
  <si>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</si>
  <si>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</si>
  <si>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</si>
  <si>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</si>
  <si>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</si>
  <si>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</si>
  <si>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</si>
  <si>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</si>
  <si>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</si>
  <si>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</si>
  <si>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</si>
  <si>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</si>
  <si>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</si>
  <si>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</si>
  <si>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</si>
  <si>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</si>
  <si>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</si>
  <si>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</si>
  <si>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</si>
  <si>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</si>
  <si>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</si>
  <si>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</si>
  <si>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</si>
  <si>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</si>
  <si>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</si>
  <si>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</si>
  <si>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</si>
  <si>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</si>
  <si>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</si>
  <si>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</si>
  <si>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</si>
  <si>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</si>
  <si>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</si>
  <si>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</si>
  <si>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</si>
  <si>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</si>
  <si>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</si>
  <si>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</si>
  <si>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</si>
  <si>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</si>
  <si>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</si>
  <si>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</si>
  <si>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</si>
  <si>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</si>
  <si>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</si>
  <si>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</si>
  <si>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</si>
  <si>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</si>
  <si>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</si>
  <si>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</si>
  <si>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</si>
  <si>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</si>
  <si>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</si>
  <si>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</si>
  <si>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</si>
  <si>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</si>
  <si>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</si>
  <si>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</si>
  <si>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</si>
  <si>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</si>
  <si>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</si>
  <si>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</si>
  <si>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</si>
  <si>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</si>
  <si>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</si>
  <si>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</si>
  <si>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</si>
  <si>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</si>
  <si>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</si>
  <si>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</si>
  <si>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</si>
  <si>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</si>
  <si>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</si>
  <si>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</si>
  <si>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</si>
  <si>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</si>
  <si>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</si>
  <si>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</si>
  <si>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</si>
  <si>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</si>
  <si>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</si>
  <si>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</si>
  <si>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</si>
  <si>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</si>
  <si>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</si>
  <si>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</si>
  <si>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</si>
  <si>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</si>
  <si>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</si>
  <si>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</si>
  <si>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</si>
  <si>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</si>
  <si>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</si>
  <si>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</si>
  <si>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</si>
  <si>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</si>
  <si>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</si>
  <si>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</si>
  <si>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</si>
  <si>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</si>
  <si>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</si>
  <si>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</si>
  <si>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</si>
  <si>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</si>
  <si>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</si>
  <si>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</si>
  <si>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</si>
  <si>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</si>
  <si>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</si>
  <si>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</si>
  <si>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</si>
  <si>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</si>
  <si>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</si>
  <si>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</si>
  <si>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</si>
  <si>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</si>
  <si>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</si>
  <si>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</si>
  <si>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</si>
  <si>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</si>
  <si>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</si>
  <si>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</si>
  <si>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</si>
  <si>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</si>
  <si>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</si>
  <si>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</si>
  <si>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</si>
  <si>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</si>
  <si>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</si>
  <si>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</si>
  <si>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</si>
  <si>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</si>
  <si>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</si>
  <si>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</si>
  <si>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</si>
  <si>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</si>
  <si>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</si>
  <si>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</si>
  <si>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</si>
  <si>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</si>
  <si>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</si>
  <si>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</si>
  <si>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</si>
  <si>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</si>
  <si>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</si>
  <si>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</si>
  <si>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</si>
  <si>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</si>
  <si>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</si>
  <si>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</si>
  <si>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</si>
  <si>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</si>
  <si>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</si>
  <si>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</si>
  <si>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</si>
  <si>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</si>
  <si>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</si>
  <si>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</si>
  <si>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</si>
  <si>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</si>
  <si>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</si>
  <si>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</si>
  <si>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</si>
  <si>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</si>
  <si>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</si>
  <si>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</si>
  <si>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</si>
  <si>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</si>
  <si>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</si>
  <si>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</si>
  <si>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</si>
  <si>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</si>
  <si>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</si>
  <si>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</si>
  <si>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</si>
  <si>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</si>
  <si>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</si>
  <si>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</si>
  <si>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</si>
  <si>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</si>
  <si>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</si>
  <si>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</si>
  <si>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</si>
  <si>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</si>
  <si>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</si>
  <si>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</si>
  <si>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</si>
  <si>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</si>
  <si>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</si>
  <si>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</si>
  <si>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</si>
  <si>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</si>
  <si>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</si>
  <si>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</si>
  <si>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</si>
  <si>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</si>
  <si>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</si>
  <si>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</si>
  <si>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</si>
  <si>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</si>
  <si>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</si>
  <si>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</si>
  <si>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</si>
  <si>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</si>
  <si>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</si>
  <si>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</si>
  <si>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</si>
  <si>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</si>
  <si>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</si>
  <si>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</si>
  <si>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</si>
  <si>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</si>
  <si>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</si>
  <si>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</si>
  <si>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</si>
  <si>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</si>
  <si>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</si>
  <si>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</si>
  <si>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</si>
  <si>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</si>
  <si>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</si>
  <si>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</si>
  <si>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</si>
  <si>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</si>
  <si>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</si>
  <si>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</si>
  <si>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</si>
  <si>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</si>
  <si>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</si>
  <si>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</si>
  <si>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</si>
  <si>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</si>
  <si>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</si>
  <si>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</si>
  <si>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</si>
  <si>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</si>
  <si>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</si>
  <si>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</si>
  <si>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</si>
  <si>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</si>
  <si>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</si>
  <si>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</si>
  <si>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</si>
  <si>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</si>
  <si>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</si>
  <si>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</si>
  <si>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</si>
  <si>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</si>
  <si>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</si>
  <si>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</si>
  <si>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</si>
  <si>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</si>
  <si>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</si>
  <si>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</si>
  <si>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</si>
  <si>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</si>
  <si>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</si>
  <si>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</si>
  <si>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</si>
  <si>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</si>
  <si>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</si>
  <si>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</si>
  <si>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</si>
  <si>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</si>
  <si>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</si>
  <si>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</si>
  <si>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</si>
  <si>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</si>
  <si>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</si>
  <si>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</si>
  <si>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</si>
  <si>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</si>
  <si>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</si>
  <si>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</si>
  <si>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</si>
  <si>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</si>
  <si>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</si>
  <si>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</si>
  <si>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</si>
  <si>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</si>
  <si>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</si>
  <si>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</si>
  <si>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</si>
  <si>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</si>
  <si>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</si>
  <si>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</si>
  <si>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</si>
  <si>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</si>
  <si>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</si>
  <si>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</si>
  <si>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</si>
  <si>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</si>
  <si>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</si>
  <si>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</si>
  <si>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</si>
  <si>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</si>
  <si>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</si>
  <si>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</si>
  <si>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</si>
  <si>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</si>
  <si>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</si>
  <si>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</si>
  <si>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</si>
  <si>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</si>
  <si>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</si>
  <si>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</si>
  <si>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</si>
  <si>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</si>
  <si>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</si>
  <si>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</si>
  <si>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</si>
  <si>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</si>
  <si>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</si>
  <si>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</si>
  <si>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</si>
  <si>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</si>
  <si>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</si>
  <si>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</si>
  <si>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</si>
  <si>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</si>
  <si>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</si>
  <si>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</si>
  <si>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</si>
  <si>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</si>
  <si>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</si>
  <si>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</si>
  <si>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</si>
  <si>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</si>
  <si>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</si>
  <si>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</si>
  <si>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</si>
  <si>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</si>
  <si>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</si>
  <si>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</si>
  <si>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</si>
  <si>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</si>
  <si>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</si>
  <si>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</si>
  <si>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</si>
  <si>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</si>
  <si>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</si>
  <si>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</si>
  <si>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</si>
  <si>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</si>
  <si>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</si>
  <si>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</si>
  <si>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</si>
  <si>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</si>
  <si>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</si>
  <si>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</si>
  <si>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</si>
  <si>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</si>
  <si>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</si>
  <si>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</si>
  <si>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</si>
  <si>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</si>
  <si>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</si>
  <si>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</si>
  <si>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</si>
  <si>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</si>
  <si>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</si>
  <si>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</si>
  <si>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</si>
  <si>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</si>
  <si>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</si>
  <si>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</si>
  <si>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</si>
  <si>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</si>
  <si>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</si>
  <si>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</si>
  <si>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</si>
  <si>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</si>
  <si>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</si>
  <si>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</si>
  <si>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</si>
  <si>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</si>
  <si>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</si>
  <si>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</si>
  <si>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</si>
  <si>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</si>
  <si>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</si>
  <si>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</si>
  <si>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</si>
  <si>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</si>
  <si>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</si>
  <si>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</si>
  <si>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</si>
  <si>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</si>
  <si>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</si>
  <si>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</si>
  <si>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</si>
  <si>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</si>
  <si>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</si>
  <si>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</si>
  <si>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</si>
  <si>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</si>
  <si>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</si>
  <si>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</si>
  <si>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</si>
  <si>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</si>
  <si>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</si>
  <si>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</si>
  <si>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</si>
  <si>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</si>
  <si>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</si>
  <si>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</si>
  <si>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</si>
  <si>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</si>
  <si>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</si>
  <si>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</si>
  <si>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</si>
  <si>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</si>
  <si>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</si>
  <si>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</si>
  <si>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</si>
  <si>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</si>
  <si>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</si>
  <si>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</si>
  <si>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</si>
  <si>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</si>
  <si>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</si>
  <si>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</si>
  <si>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</si>
  <si>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</si>
  <si>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</si>
  <si>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</si>
  <si>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</si>
  <si>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</si>
  <si>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</si>
  <si>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</si>
  <si>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</si>
  <si>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</si>
  <si>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</si>
  <si>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</si>
  <si>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</si>
  <si>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</si>
  <si>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</si>
  <si>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</si>
  <si>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</si>
  <si>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</si>
  <si>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</si>
  <si>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</si>
  <si>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</si>
  <si>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</si>
  <si>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</si>
  <si>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</si>
  <si>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</si>
  <si>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</si>
  <si>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</si>
  <si>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</si>
  <si>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</si>
  <si>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</si>
  <si>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</si>
  <si>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</si>
  <si>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</si>
  <si>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</si>
  <si>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</si>
  <si>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</si>
  <si>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</si>
  <si>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</si>
  <si>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</si>
  <si>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</si>
  <si>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</si>
  <si>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</si>
  <si>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</si>
  <si>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</si>
  <si>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</si>
  <si>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</si>
  <si>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</si>
  <si>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</si>
  <si>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</si>
  <si>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</si>
  <si>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</si>
  <si>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</si>
  <si>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</si>
  <si>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</si>
  <si>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</si>
  <si>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</si>
  <si>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</si>
  <si>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</si>
  <si>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</si>
  <si>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</si>
  <si>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</si>
  <si>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</si>
  <si>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</si>
  <si>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</si>
  <si>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</si>
  <si>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</si>
  <si>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</si>
  <si>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</si>
  <si>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</si>
  <si>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</si>
  <si>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</si>
  <si>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</si>
  <si>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</si>
  <si>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</si>
  <si>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</si>
  <si>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</si>
  <si>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</si>
  <si>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</si>
  <si>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</si>
  <si>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</si>
  <si>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</si>
  <si>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</si>
  <si>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</si>
  <si>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</si>
  <si>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</si>
  <si>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</si>
  <si>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</si>
  <si>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</si>
  <si>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</si>
  <si>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</si>
  <si>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</si>
  <si>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</si>
  <si>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</si>
  <si>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</si>
  <si>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</si>
  <si>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</si>
  <si>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</si>
  <si>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</si>
  <si>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</si>
  <si>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</si>
  <si>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</si>
  <si>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</si>
  <si>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</si>
  <si>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</si>
  <si>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</si>
  <si>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</si>
  <si>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</si>
  <si>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</si>
  <si>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</si>
  <si>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</si>
  <si>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</si>
  <si>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</si>
  <si>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</si>
  <si>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</si>
  <si>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</si>
  <si>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</si>
  <si>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</si>
  <si>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</si>
  <si>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</si>
  <si>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</si>
  <si>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</si>
  <si>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</si>
  <si>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</si>
  <si>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</si>
  <si>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</si>
  <si>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</si>
  <si>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</si>
  <si>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</si>
  <si>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</si>
  <si>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</si>
  <si>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</si>
  <si>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</si>
  <si>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</si>
  <si>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</si>
  <si>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</si>
  <si>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</si>
  <si>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</si>
  <si>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</si>
  <si>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</si>
  <si>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</si>
  <si>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</si>
  <si>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</si>
  <si>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</si>
  <si>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</si>
  <si>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</si>
  <si>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</si>
  <si>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</si>
  <si>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</si>
  <si>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</si>
  <si>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</si>
  <si>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</si>
  <si>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</si>
  <si>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</si>
  <si>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</si>
  <si>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</si>
  <si>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</si>
  <si>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</si>
  <si>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</si>
  <si>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</si>
  <si>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</si>
  <si>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</si>
  <si>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</si>
  <si>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</si>
  <si>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</si>
  <si>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</si>
  <si>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</si>
  <si>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</si>
  <si>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</si>
  <si>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</si>
  <si>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</si>
  <si>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</si>
  <si>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</si>
  <si>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</si>
  <si>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</si>
  <si>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</si>
  <si>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</si>
  <si>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</si>
  <si>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</si>
  <si>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</si>
  <si>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</si>
  <si>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</si>
  <si>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</si>
  <si>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</si>
  <si>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</si>
  <si>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</si>
  <si>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</si>
  <si>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Център по предприемачество</t>
  </si>
  <si>
    <t>КОРПОРАЦИЯ "УНИМАШ" АД - гр. ПЛОВДИВ</t>
  </si>
  <si>
    <t>Дата на съставяне: 12.03.2008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</si>
</sst>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4">
      <selection activeCell="C18" sqref="C1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867</v>
      </c>
      <c r="F3" s="217" t="s">
        <v>2</v>
      </c>
      <c r="G3" s="172"/>
      <c r="H3" s="461">
        <v>814189907</v>
      </c>
    </row>
    <row r="4" spans="1:8" ht="15">
      <c r="A4" s="581" t="s">
        <v>3</v>
      </c>
      <c r="B4" s="587"/>
      <c r="C4" s="587"/>
      <c r="D4" s="587"/>
      <c r="E4" s="504" t="s">
        <v>865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>
        <v>39447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</v>
      </c>
      <c r="D11" s="151">
        <v>2</v>
      </c>
      <c r="E11" s="237" t="s">
        <v>22</v>
      </c>
      <c r="F11" s="242" t="s">
        <v>23</v>
      </c>
      <c r="G11" s="152">
        <v>2340</v>
      </c>
      <c r="H11" s="152">
        <v>390</v>
      </c>
    </row>
    <row r="12" spans="1:8" ht="15">
      <c r="A12" s="235" t="s">
        <v>24</v>
      </c>
      <c r="B12" s="241" t="s">
        <v>25</v>
      </c>
      <c r="C12" s="151">
        <v>17</v>
      </c>
      <c r="D12" s="151">
        <v>34</v>
      </c>
      <c r="E12" s="237" t="s">
        <v>26</v>
      </c>
      <c r="F12" s="242" t="s">
        <v>27</v>
      </c>
      <c r="G12" s="153">
        <v>2340</v>
      </c>
      <c r="H12" s="153">
        <v>390</v>
      </c>
    </row>
    <row r="13" spans="1:8" ht="15">
      <c r="A13" s="235" t="s">
        <v>28</v>
      </c>
      <c r="B13" s="241" t="s">
        <v>29</v>
      </c>
      <c r="C13" s="151">
        <f>39</f>
        <v>39</v>
      </c>
      <c r="D13" s="151">
        <v>71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29</v>
      </c>
      <c r="D14" s="151">
        <v>31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68</v>
      </c>
      <c r="D15" s="151">
        <v>91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</v>
      </c>
      <c r="D16" s="151">
        <v>13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</v>
      </c>
      <c r="D17" s="151"/>
      <c r="E17" s="243" t="s">
        <v>46</v>
      </c>
      <c r="F17" s="245" t="s">
        <v>47</v>
      </c>
      <c r="G17" s="154">
        <f>G11+G14+G15+G16</f>
        <v>2340</v>
      </c>
      <c r="H17" s="154">
        <f>H11+H14+H15+H16</f>
        <v>390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f>21</f>
        <v>21</v>
      </c>
      <c r="D18" s="151">
        <v>44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194</v>
      </c>
      <c r="D19" s="155">
        <f>SUM(D11:D18)</f>
        <v>286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12</v>
      </c>
      <c r="H20" s="158">
        <v>14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1275</v>
      </c>
      <c r="H21" s="156">
        <f>SUM(H22:H24)</f>
        <v>1275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6</v>
      </c>
      <c r="H22" s="152">
        <v>6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15</v>
      </c>
      <c r="E24" s="237" t="s">
        <v>72</v>
      </c>
      <c r="F24" s="242" t="s">
        <v>73</v>
      </c>
      <c r="G24" s="152">
        <v>1269</v>
      </c>
      <c r="H24" s="152">
        <v>1269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1287</v>
      </c>
      <c r="H25" s="154">
        <f>H19+H20+H21</f>
        <v>1289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66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75</v>
      </c>
      <c r="D27" s="155">
        <f>SUM(D23:D26)</f>
        <v>15</v>
      </c>
      <c r="E27" s="253" t="s">
        <v>83</v>
      </c>
      <c r="F27" s="242" t="s">
        <v>84</v>
      </c>
      <c r="G27" s="154">
        <f>SUM(G28:G30)</f>
        <v>403</v>
      </c>
      <c r="H27" s="154">
        <f>SUM(H28:H30)</f>
        <v>291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433</v>
      </c>
      <c r="H28" s="152">
        <v>589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-30</v>
      </c>
      <c r="H29" s="316">
        <v>-298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23</v>
      </c>
      <c r="H31" s="152">
        <v>2061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426</v>
      </c>
      <c r="H33" s="154">
        <f>H27+H31+H32</f>
        <v>2352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6</v>
      </c>
      <c r="D34" s="155">
        <f>SUM(D35:D38)</f>
        <v>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6</v>
      </c>
      <c r="D35" s="151">
        <v>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4053</v>
      </c>
      <c r="H36" s="154">
        <f>H25+H17+H33</f>
        <v>4031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6</v>
      </c>
      <c r="D45" s="155">
        <f>D34+D39+D44</f>
        <v>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343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>
        <v>392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735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36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</v>
      </c>
      <c r="D54" s="151">
        <v>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277</v>
      </c>
      <c r="D55" s="155">
        <f>D19+D20+D21+D27+D32+D45+D51+D53+D54</f>
        <v>1080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16</v>
      </c>
      <c r="D58" s="151">
        <v>25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153</v>
      </c>
      <c r="D60" s="151">
        <v>93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665</v>
      </c>
      <c r="H61" s="154">
        <f>SUM(H62:H68)</f>
        <v>375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360</v>
      </c>
      <c r="H62" s="152">
        <v>212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169</v>
      </c>
      <c r="D64" s="155">
        <f>SUM(D58:D63)</f>
        <v>118</v>
      </c>
      <c r="E64" s="237" t="s">
        <v>200</v>
      </c>
      <c r="F64" s="242" t="s">
        <v>201</v>
      </c>
      <c r="G64" s="152">
        <v>95</v>
      </c>
      <c r="H64" s="152">
        <v>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112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43</v>
      </c>
      <c r="H66" s="152">
        <v>9</v>
      </c>
    </row>
    <row r="67" spans="1:8" ht="15">
      <c r="A67" s="235" t="s">
        <v>207</v>
      </c>
      <c r="B67" s="241" t="s">
        <v>208</v>
      </c>
      <c r="C67" s="151">
        <v>2596</v>
      </c>
      <c r="D67" s="151">
        <v>1029</v>
      </c>
      <c r="E67" s="237" t="s">
        <v>209</v>
      </c>
      <c r="F67" s="242" t="s">
        <v>210</v>
      </c>
      <c r="G67" s="152">
        <v>21</v>
      </c>
      <c r="H67" s="152">
        <v>3</v>
      </c>
    </row>
    <row r="68" spans="1:8" ht="15">
      <c r="A68" s="235" t="s">
        <v>211</v>
      </c>
      <c r="B68" s="241" t="s">
        <v>212</v>
      </c>
      <c r="C68" s="151">
        <v>680</v>
      </c>
      <c r="D68" s="151">
        <v>283</v>
      </c>
      <c r="E68" s="237" t="s">
        <v>213</v>
      </c>
      <c r="F68" s="242" t="s">
        <v>214</v>
      </c>
      <c r="G68" s="152">
        <f>141+5</f>
        <v>146</v>
      </c>
      <c r="H68" s="152"/>
    </row>
    <row r="69" spans="1:8" ht="15">
      <c r="A69" s="235" t="s">
        <v>215</v>
      </c>
      <c r="B69" s="241" t="s">
        <v>216</v>
      </c>
      <c r="C69" s="151"/>
      <c r="D69" s="151">
        <v>20</v>
      </c>
      <c r="E69" s="251" t="s">
        <v>78</v>
      </c>
      <c r="F69" s="242" t="s">
        <v>217</v>
      </c>
      <c r="G69" s="152">
        <v>218</v>
      </c>
      <c r="H69" s="152">
        <v>323</v>
      </c>
    </row>
    <row r="70" spans="1:8" ht="15">
      <c r="A70" s="235" t="s">
        <v>218</v>
      </c>
      <c r="B70" s="241" t="s">
        <v>219</v>
      </c>
      <c r="C70" s="151">
        <f>1554+55-51-672</f>
        <v>886</v>
      </c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15</v>
      </c>
      <c r="D71" s="151">
        <v>15</v>
      </c>
      <c r="E71" s="253" t="s">
        <v>46</v>
      </c>
      <c r="F71" s="273" t="s">
        <v>224</v>
      </c>
      <c r="G71" s="161">
        <f>G59+G60+G61+G69+G70</f>
        <v>883</v>
      </c>
      <c r="H71" s="161">
        <f>H59+H60+H61+H69+H70</f>
        <v>698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201</v>
      </c>
      <c r="D74" s="151">
        <v>128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4378</v>
      </c>
      <c r="D75" s="155">
        <f>SUM(D67:D74)</f>
        <v>1480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883</v>
      </c>
      <c r="H79" s="162">
        <f>H71+H74+H75+H76</f>
        <v>698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91</v>
      </c>
      <c r="D83" s="151">
        <v>460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91</v>
      </c>
      <c r="D84" s="155">
        <f>D83+D82+D78</f>
        <v>460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</v>
      </c>
      <c r="D88" s="151">
        <v>1589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</v>
      </c>
      <c r="D91" s="155">
        <f>SUM(D87:D90)</f>
        <v>1591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4659</v>
      </c>
      <c r="D93" s="155">
        <f>D64+D75+D84+D91+D92</f>
        <v>3649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4936</v>
      </c>
      <c r="D94" s="164">
        <f>D93+D55</f>
        <v>4729</v>
      </c>
      <c r="E94" s="449" t="s">
        <v>270</v>
      </c>
      <c r="F94" s="289" t="s">
        <v>271</v>
      </c>
      <c r="G94" s="165">
        <f>G36+G39+G55+G79</f>
        <v>4936</v>
      </c>
      <c r="H94" s="165">
        <f>H36+H39+H55+H79</f>
        <v>4729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7" right="0.24" top="0.2" bottom="0.2" header="0.17" footer="0.19"/>
  <pageSetup fitToHeight="96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7">
      <selection activeCell="C37" sqref="C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КОРПОРАЦИЯ "УНИМАШ" АД - гр. ПЛОВДИВ</v>
      </c>
      <c r="C2" s="590"/>
      <c r="D2" s="590"/>
      <c r="E2" s="590"/>
      <c r="F2" s="577" t="s">
        <v>2</v>
      </c>
      <c r="G2" s="577"/>
      <c r="H2" s="526">
        <f>'справка №1-БАЛАНС'!H3</f>
        <v>814189907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>
        <f>'справка №1-БАЛАНС'!E5</f>
        <v>39447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92</v>
      </c>
      <c r="D9" s="46">
        <v>47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351</v>
      </c>
      <c r="D10" s="46">
        <v>412</v>
      </c>
      <c r="E10" s="298" t="s">
        <v>289</v>
      </c>
      <c r="F10" s="549" t="s">
        <v>290</v>
      </c>
      <c r="G10" s="550"/>
      <c r="H10" s="550">
        <v>134</v>
      </c>
    </row>
    <row r="11" spans="1:8" ht="12">
      <c r="A11" s="298" t="s">
        <v>291</v>
      </c>
      <c r="B11" s="299" t="s">
        <v>292</v>
      </c>
      <c r="C11" s="46">
        <f>99-2</f>
        <v>97</v>
      </c>
      <c r="D11" s="46">
        <v>127</v>
      </c>
      <c r="E11" s="300" t="s">
        <v>293</v>
      </c>
      <c r="F11" s="549" t="s">
        <v>294</v>
      </c>
      <c r="G11" s="550">
        <v>1270</v>
      </c>
      <c r="H11" s="550"/>
    </row>
    <row r="12" spans="1:8" ht="12">
      <c r="A12" s="298" t="s">
        <v>295</v>
      </c>
      <c r="B12" s="299" t="s">
        <v>296</v>
      </c>
      <c r="C12" s="46">
        <v>880</v>
      </c>
      <c r="D12" s="46">
        <v>64</v>
      </c>
      <c r="E12" s="300" t="s">
        <v>78</v>
      </c>
      <c r="F12" s="549" t="s">
        <v>297</v>
      </c>
      <c r="G12" s="550">
        <v>219</v>
      </c>
      <c r="H12" s="550">
        <v>4202</v>
      </c>
    </row>
    <row r="13" spans="1:18" ht="12">
      <c r="A13" s="298" t="s">
        <v>298</v>
      </c>
      <c r="B13" s="299" t="s">
        <v>299</v>
      </c>
      <c r="C13" s="46">
        <v>216</v>
      </c>
      <c r="D13" s="46">
        <v>15</v>
      </c>
      <c r="E13" s="301" t="s">
        <v>51</v>
      </c>
      <c r="F13" s="551" t="s">
        <v>300</v>
      </c>
      <c r="G13" s="548">
        <f>SUM(G9:G12)</f>
        <v>1489</v>
      </c>
      <c r="H13" s="548">
        <f>SUM(H9:H12)</f>
        <v>4336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16</v>
      </c>
      <c r="D14" s="46">
        <v>1387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9</v>
      </c>
      <c r="D16" s="47">
        <v>86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1661</v>
      </c>
      <c r="D19" s="49">
        <f>SUM(D9:D15)+D16</f>
        <v>2138</v>
      </c>
      <c r="E19" s="304" t="s">
        <v>317</v>
      </c>
      <c r="F19" s="552" t="s">
        <v>318</v>
      </c>
      <c r="G19" s="550">
        <v>221</v>
      </c>
      <c r="H19" s="550">
        <v>31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f>11+6</f>
        <v>17</v>
      </c>
      <c r="D22" s="46">
        <v>26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2</v>
      </c>
      <c r="D24" s="46"/>
      <c r="E24" s="301" t="s">
        <v>103</v>
      </c>
      <c r="F24" s="554" t="s">
        <v>334</v>
      </c>
      <c r="G24" s="548">
        <f>SUM(G19:G23)</f>
        <v>221</v>
      </c>
      <c r="H24" s="548">
        <f>SUM(H19:H23)</f>
        <v>31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21</v>
      </c>
      <c r="D26" s="49">
        <f>SUM(D22:D25)</f>
        <v>28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1682</v>
      </c>
      <c r="D28" s="50">
        <f>D26+D19</f>
        <v>2166</v>
      </c>
      <c r="E28" s="127" t="s">
        <v>339</v>
      </c>
      <c r="F28" s="554" t="s">
        <v>340</v>
      </c>
      <c r="G28" s="548">
        <f>G13+G15+G24</f>
        <v>1710</v>
      </c>
      <c r="H28" s="548">
        <f>H13+H15+H24</f>
        <v>4367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28</v>
      </c>
      <c r="D30" s="50">
        <f>IF((H28-D28)&gt;0,H28-D28,0)</f>
        <v>2201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1682</v>
      </c>
      <c r="D33" s="49">
        <f>D28+D31+D32</f>
        <v>2166</v>
      </c>
      <c r="E33" s="127" t="s">
        <v>353</v>
      </c>
      <c r="F33" s="554" t="s">
        <v>354</v>
      </c>
      <c r="G33" s="53">
        <f>G32+G31+G28</f>
        <v>1710</v>
      </c>
      <c r="H33" s="53">
        <f>H32+H31+H28</f>
        <v>4367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28</v>
      </c>
      <c r="D34" s="50">
        <f>IF((H33-D33)&gt;0,H33-D33,0)</f>
        <v>2201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23</v>
      </c>
      <c r="D39" s="460">
        <f>+IF((H33-D33-D35)&gt;0,H33-D33-D35,0)</f>
        <v>2201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23</v>
      </c>
      <c r="D41" s="52">
        <f>IF(H39=0,IF(D39-D40&gt;0,D39-D40+H40,0),IF(H39-H40&lt;0,H40-H39+D39,0))</f>
        <v>2201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1710</v>
      </c>
      <c r="D42" s="53">
        <f>D33+D35+D39</f>
        <v>4367</v>
      </c>
      <c r="E42" s="128" t="s">
        <v>380</v>
      </c>
      <c r="F42" s="129" t="s">
        <v>381</v>
      </c>
      <c r="G42" s="53">
        <f>G39+G33</f>
        <v>1710</v>
      </c>
      <c r="H42" s="53">
        <f>H39+H33</f>
        <v>4367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39519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8" right="0.2362204724409449" top="0.17" bottom="0.16" header="0.19" footer="0.24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25" sqref="C2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КОРПОРАЦИЯ "УНИМАШ" АД - гр. ПЛОВДИВ</v>
      </c>
      <c r="C4" s="541" t="s">
        <v>2</v>
      </c>
      <c r="D4" s="541">
        <f>'справка №1-БАЛАНС'!H3</f>
        <v>814189907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39447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1342-187</f>
        <v>1155</v>
      </c>
      <c r="D10" s="54">
        <v>102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-451</v>
      </c>
      <c r="D11" s="54">
        <v>-1241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>
        <v>-460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-1039</v>
      </c>
      <c r="D13" s="54">
        <v>-97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-137</v>
      </c>
      <c r="D14" s="54">
        <v>-502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-140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-480-18-394</f>
        <v>-892</v>
      </c>
      <c r="D19" s="54">
        <v>-14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-1504</v>
      </c>
      <c r="D20" s="55">
        <f>SUM(D10:D19)</f>
        <v>-2209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-309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187</v>
      </c>
      <c r="D23" s="54">
        <v>4777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f>-831+394</f>
        <v>-437</v>
      </c>
      <c r="D24" s="54">
        <v>-679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64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-184</v>
      </c>
      <c r="D32" s="55">
        <f>SUM(D22:D31)</f>
        <v>3789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154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-50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18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118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-1570</v>
      </c>
      <c r="D43" s="55">
        <f>D42+D32+D20</f>
        <v>1580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1591</v>
      </c>
      <c r="D44" s="132">
        <v>11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21</v>
      </c>
      <c r="D45" s="55">
        <f>D44+D43</f>
        <v>1591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12.03.2008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91" right="0.59" top="0.59" bottom="0.46" header="0.48" footer="0.3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A28" sqref="A2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КОРПОРАЦИЯ "УНИМАШ" АД - гр. ПЛОВДИВ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814189907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39447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390</v>
      </c>
      <c r="D11" s="58">
        <f>'справка №1-БАЛАНС'!H19</f>
        <v>0</v>
      </c>
      <c r="E11" s="58">
        <f>'справка №1-БАЛАНС'!H20</f>
        <v>14</v>
      </c>
      <c r="F11" s="58">
        <f>'справка №1-БАЛАНС'!H22</f>
        <v>6</v>
      </c>
      <c r="G11" s="58">
        <f>'справка №1-БАЛАНС'!H23</f>
        <v>0</v>
      </c>
      <c r="H11" s="60">
        <v>1269</v>
      </c>
      <c r="I11" s="58">
        <f>'справка №1-БАЛАНС'!H28+'справка №1-БАЛАНС'!H31</f>
        <v>2650</v>
      </c>
      <c r="J11" s="58">
        <f>'справка №1-БАЛАНС'!H29+'справка №1-БАЛАНС'!H32</f>
        <v>-298</v>
      </c>
      <c r="K11" s="60"/>
      <c r="L11" s="344">
        <f>SUM(C11:K11)</f>
        <v>4031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390</v>
      </c>
      <c r="D15" s="61">
        <f aca="true" t="shared" si="2" ref="D15:M15">D11+D12</f>
        <v>0</v>
      </c>
      <c r="E15" s="61">
        <f t="shared" si="2"/>
        <v>14</v>
      </c>
      <c r="F15" s="61">
        <f t="shared" si="2"/>
        <v>6</v>
      </c>
      <c r="G15" s="61">
        <f t="shared" si="2"/>
        <v>0</v>
      </c>
      <c r="H15" s="61">
        <f t="shared" si="2"/>
        <v>1269</v>
      </c>
      <c r="I15" s="61">
        <f t="shared" si="2"/>
        <v>2650</v>
      </c>
      <c r="J15" s="61">
        <f t="shared" si="2"/>
        <v>-298</v>
      </c>
      <c r="K15" s="61">
        <f t="shared" si="2"/>
        <v>0</v>
      </c>
      <c r="L15" s="344">
        <f t="shared" si="1"/>
        <v>4031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23</v>
      </c>
      <c r="J16" s="345">
        <f>+'справка №1-БАЛАНС'!G32</f>
        <v>0</v>
      </c>
      <c r="K16" s="60"/>
      <c r="L16" s="344">
        <f t="shared" si="1"/>
        <v>23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1950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-1950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>
        <v>1950</v>
      </c>
      <c r="D19" s="60"/>
      <c r="E19" s="60"/>
      <c r="F19" s="60"/>
      <c r="G19" s="60"/>
      <c r="H19" s="60"/>
      <c r="I19" s="60">
        <v>-1950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-268</v>
      </c>
      <c r="J20" s="60">
        <v>268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-2</v>
      </c>
      <c r="F28" s="60"/>
      <c r="G28" s="60"/>
      <c r="H28" s="60"/>
      <c r="I28" s="60">
        <v>1</v>
      </c>
      <c r="J28" s="60"/>
      <c r="K28" s="60"/>
      <c r="L28" s="344">
        <f t="shared" si="1"/>
        <v>-1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2340</v>
      </c>
      <c r="D29" s="59">
        <f aca="true" t="shared" si="6" ref="D29:M29">D17+D20+D21+D24+D28+D27+D15+D16</f>
        <v>0</v>
      </c>
      <c r="E29" s="59">
        <f t="shared" si="6"/>
        <v>12</v>
      </c>
      <c r="F29" s="59">
        <f t="shared" si="6"/>
        <v>6</v>
      </c>
      <c r="G29" s="59">
        <f t="shared" si="6"/>
        <v>0</v>
      </c>
      <c r="H29" s="59">
        <f t="shared" si="6"/>
        <v>1269</v>
      </c>
      <c r="I29" s="59">
        <f t="shared" si="6"/>
        <v>456</v>
      </c>
      <c r="J29" s="59">
        <f t="shared" si="6"/>
        <v>-30</v>
      </c>
      <c r="K29" s="59">
        <f t="shared" si="6"/>
        <v>0</v>
      </c>
      <c r="L29" s="344">
        <f t="shared" si="1"/>
        <v>4053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2340</v>
      </c>
      <c r="D32" s="59">
        <f t="shared" si="7"/>
        <v>0</v>
      </c>
      <c r="E32" s="59">
        <f t="shared" si="7"/>
        <v>12</v>
      </c>
      <c r="F32" s="59">
        <f t="shared" si="7"/>
        <v>6</v>
      </c>
      <c r="G32" s="59">
        <f t="shared" si="7"/>
        <v>0</v>
      </c>
      <c r="H32" s="59">
        <f t="shared" si="7"/>
        <v>1269</v>
      </c>
      <c r="I32" s="59">
        <f t="shared" si="7"/>
        <v>456</v>
      </c>
      <c r="J32" s="59">
        <f t="shared" si="7"/>
        <v>-30</v>
      </c>
      <c r="K32" s="59">
        <f t="shared" si="7"/>
        <v>0</v>
      </c>
      <c r="L32" s="344">
        <f t="shared" si="1"/>
        <v>4053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12.03.2008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22">
      <selection activeCell="R54" sqref="R5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КОРПОРАЦИЯ "УНИМАШ" АД - гр. ПЛОВДИВ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814189907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39447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</v>
      </c>
      <c r="E9" s="189"/>
      <c r="F9" s="189"/>
      <c r="G9" s="74">
        <f>D9+E9-F9</f>
        <v>2</v>
      </c>
      <c r="H9" s="65"/>
      <c r="I9" s="65"/>
      <c r="J9" s="74">
        <f>G9+H9-I9</f>
        <v>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53</v>
      </c>
      <c r="E10" s="189"/>
      <c r="F10" s="189">
        <v>24</v>
      </c>
      <c r="G10" s="74">
        <f aca="true" t="shared" si="2" ref="G10:G39">D10+E10-F10</f>
        <v>29</v>
      </c>
      <c r="H10" s="65"/>
      <c r="I10" s="65"/>
      <c r="J10" s="74">
        <f aca="true" t="shared" si="3" ref="J10:J39">G10+H10-I10</f>
        <v>29</v>
      </c>
      <c r="K10" s="65">
        <v>19</v>
      </c>
      <c r="L10" s="65">
        <v>1</v>
      </c>
      <c r="M10" s="65">
        <v>8</v>
      </c>
      <c r="N10" s="74">
        <f aca="true" t="shared" si="4" ref="N10:N39">K10+L10-M10</f>
        <v>12</v>
      </c>
      <c r="O10" s="65"/>
      <c r="P10" s="65"/>
      <c r="Q10" s="74">
        <f t="shared" si="0"/>
        <v>12</v>
      </c>
      <c r="R10" s="74">
        <f t="shared" si="1"/>
        <v>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538</v>
      </c>
      <c r="E11" s="189"/>
      <c r="F11" s="189"/>
      <c r="G11" s="74">
        <f t="shared" si="2"/>
        <v>538</v>
      </c>
      <c r="H11" s="65"/>
      <c r="I11" s="65"/>
      <c r="J11" s="74">
        <f t="shared" si="3"/>
        <v>538</v>
      </c>
      <c r="K11" s="65">
        <v>467</v>
      </c>
      <c r="L11" s="65">
        <v>32</v>
      </c>
      <c r="M11" s="65"/>
      <c r="N11" s="74">
        <f t="shared" si="4"/>
        <v>499</v>
      </c>
      <c r="O11" s="65"/>
      <c r="P11" s="65"/>
      <c r="Q11" s="74">
        <f t="shared" si="0"/>
        <v>499</v>
      </c>
      <c r="R11" s="74">
        <f t="shared" si="1"/>
        <v>39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60</v>
      </c>
      <c r="E12" s="189"/>
      <c r="F12" s="189"/>
      <c r="G12" s="74">
        <f t="shared" si="2"/>
        <v>60</v>
      </c>
      <c r="H12" s="65"/>
      <c r="I12" s="65"/>
      <c r="J12" s="74">
        <f t="shared" si="3"/>
        <v>60</v>
      </c>
      <c r="K12" s="65">
        <v>29</v>
      </c>
      <c r="L12" s="65">
        <v>2</v>
      </c>
      <c r="M12" s="65"/>
      <c r="N12" s="74">
        <f t="shared" si="4"/>
        <v>31</v>
      </c>
      <c r="O12" s="65"/>
      <c r="P12" s="65"/>
      <c r="Q12" s="74">
        <f t="shared" si="0"/>
        <v>31</v>
      </c>
      <c r="R12" s="74">
        <f t="shared" si="1"/>
        <v>29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198</v>
      </c>
      <c r="E13" s="189"/>
      <c r="F13" s="189"/>
      <c r="G13" s="74">
        <f t="shared" si="2"/>
        <v>198</v>
      </c>
      <c r="H13" s="65"/>
      <c r="I13" s="65"/>
      <c r="J13" s="74">
        <f t="shared" si="3"/>
        <v>198</v>
      </c>
      <c r="K13" s="65">
        <v>107</v>
      </c>
      <c r="L13" s="65">
        <v>23</v>
      </c>
      <c r="M13" s="65"/>
      <c r="N13" s="74">
        <f t="shared" si="4"/>
        <v>130</v>
      </c>
      <c r="O13" s="65"/>
      <c r="P13" s="65"/>
      <c r="Q13" s="74">
        <f t="shared" si="0"/>
        <v>130</v>
      </c>
      <c r="R13" s="74">
        <f t="shared" si="1"/>
        <v>68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56</v>
      </c>
      <c r="E14" s="189">
        <v>7</v>
      </c>
      <c r="F14" s="189"/>
      <c r="G14" s="74">
        <f t="shared" si="2"/>
        <v>63</v>
      </c>
      <c r="H14" s="65"/>
      <c r="I14" s="65"/>
      <c r="J14" s="74">
        <f t="shared" si="3"/>
        <v>63</v>
      </c>
      <c r="K14" s="65">
        <v>43</v>
      </c>
      <c r="L14" s="65">
        <v>4</v>
      </c>
      <c r="M14" s="65"/>
      <c r="N14" s="74">
        <f t="shared" si="4"/>
        <v>47</v>
      </c>
      <c r="O14" s="65"/>
      <c r="P14" s="65"/>
      <c r="Q14" s="74">
        <f t="shared" si="0"/>
        <v>47</v>
      </c>
      <c r="R14" s="74">
        <f t="shared" si="1"/>
        <v>16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>
        <v>2</v>
      </c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46</v>
      </c>
      <c r="E16" s="189"/>
      <c r="F16" s="189"/>
      <c r="G16" s="74">
        <f t="shared" si="2"/>
        <v>46</v>
      </c>
      <c r="H16" s="65"/>
      <c r="I16" s="65"/>
      <c r="J16" s="74">
        <f t="shared" si="3"/>
        <v>46</v>
      </c>
      <c r="K16" s="65">
        <v>2</v>
      </c>
      <c r="L16" s="65">
        <v>23</v>
      </c>
      <c r="M16" s="65"/>
      <c r="N16" s="74">
        <f t="shared" si="4"/>
        <v>25</v>
      </c>
      <c r="O16" s="65"/>
      <c r="P16" s="65"/>
      <c r="Q16" s="74">
        <f aca="true" t="shared" si="5" ref="Q16:Q25">N16+O16-P16</f>
        <v>25</v>
      </c>
      <c r="R16" s="74">
        <f aca="true" t="shared" si="6" ref="R16:R25">J16-Q16</f>
        <v>21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953</v>
      </c>
      <c r="E17" s="194">
        <f>SUM(E9:E16)</f>
        <v>9</v>
      </c>
      <c r="F17" s="194">
        <f>SUM(F9:F16)</f>
        <v>24</v>
      </c>
      <c r="G17" s="74">
        <f t="shared" si="2"/>
        <v>938</v>
      </c>
      <c r="H17" s="75">
        <f>SUM(H9:H16)</f>
        <v>0</v>
      </c>
      <c r="I17" s="75">
        <f>SUM(I9:I16)</f>
        <v>0</v>
      </c>
      <c r="J17" s="74">
        <f t="shared" si="3"/>
        <v>938</v>
      </c>
      <c r="K17" s="75">
        <f>SUM(K9:K16)</f>
        <v>667</v>
      </c>
      <c r="L17" s="75">
        <f>SUM(L9:L16)</f>
        <v>85</v>
      </c>
      <c r="M17" s="75">
        <f>SUM(M9:M16)</f>
        <v>8</v>
      </c>
      <c r="N17" s="74">
        <f t="shared" si="4"/>
        <v>744</v>
      </c>
      <c r="O17" s="75">
        <f>SUM(O9:O16)</f>
        <v>0</v>
      </c>
      <c r="P17" s="75">
        <f>SUM(P9:P16)</f>
        <v>0</v>
      </c>
      <c r="Q17" s="74">
        <f t="shared" si="5"/>
        <v>744</v>
      </c>
      <c r="R17" s="74">
        <f t="shared" si="6"/>
        <v>194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21</v>
      </c>
      <c r="E22" s="189"/>
      <c r="F22" s="189"/>
      <c r="G22" s="74">
        <f t="shared" si="2"/>
        <v>21</v>
      </c>
      <c r="H22" s="65"/>
      <c r="I22" s="65"/>
      <c r="J22" s="74">
        <f t="shared" si="3"/>
        <v>21</v>
      </c>
      <c r="K22" s="65">
        <v>6</v>
      </c>
      <c r="L22" s="65">
        <v>6</v>
      </c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>
        <v>72</v>
      </c>
      <c r="F24" s="189"/>
      <c r="G24" s="74">
        <f t="shared" si="2"/>
        <v>72</v>
      </c>
      <c r="H24" s="65"/>
      <c r="I24" s="65"/>
      <c r="J24" s="74">
        <f t="shared" si="3"/>
        <v>72</v>
      </c>
      <c r="K24" s="65"/>
      <c r="L24" s="65">
        <v>6</v>
      </c>
      <c r="M24" s="65"/>
      <c r="N24" s="74">
        <f t="shared" si="4"/>
        <v>6</v>
      </c>
      <c r="O24" s="65"/>
      <c r="P24" s="65"/>
      <c r="Q24" s="74">
        <f t="shared" si="5"/>
        <v>6</v>
      </c>
      <c r="R24" s="74">
        <f t="shared" si="6"/>
        <v>66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21</v>
      </c>
      <c r="E25" s="190">
        <f aca="true" t="shared" si="7" ref="E25:P25">SUM(E21:E24)</f>
        <v>72</v>
      </c>
      <c r="F25" s="190">
        <f t="shared" si="7"/>
        <v>0</v>
      </c>
      <c r="G25" s="67">
        <f t="shared" si="2"/>
        <v>93</v>
      </c>
      <c r="H25" s="66">
        <f t="shared" si="7"/>
        <v>0</v>
      </c>
      <c r="I25" s="66">
        <f t="shared" si="7"/>
        <v>0</v>
      </c>
      <c r="J25" s="67">
        <f t="shared" si="3"/>
        <v>93</v>
      </c>
      <c r="K25" s="66">
        <f t="shared" si="7"/>
        <v>6</v>
      </c>
      <c r="L25" s="66">
        <f t="shared" si="7"/>
        <v>12</v>
      </c>
      <c r="M25" s="66">
        <f t="shared" si="7"/>
        <v>0</v>
      </c>
      <c r="N25" s="67">
        <f t="shared" si="4"/>
        <v>18</v>
      </c>
      <c r="O25" s="66">
        <f t="shared" si="7"/>
        <v>0</v>
      </c>
      <c r="P25" s="66">
        <f t="shared" si="7"/>
        <v>0</v>
      </c>
      <c r="Q25" s="67">
        <f t="shared" si="5"/>
        <v>18</v>
      </c>
      <c r="R25" s="67">
        <f t="shared" si="6"/>
        <v>75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</v>
      </c>
      <c r="H27" s="70">
        <f t="shared" si="8"/>
        <v>0</v>
      </c>
      <c r="I27" s="70">
        <f t="shared" si="8"/>
        <v>0</v>
      </c>
      <c r="J27" s="71">
        <f t="shared" si="3"/>
        <v>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</v>
      </c>
      <c r="E28" s="189"/>
      <c r="F28" s="189"/>
      <c r="G28" s="74">
        <f t="shared" si="2"/>
        <v>6</v>
      </c>
      <c r="H28" s="65"/>
      <c r="I28" s="65"/>
      <c r="J28" s="74">
        <f t="shared" si="3"/>
        <v>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</v>
      </c>
      <c r="H38" s="75">
        <f t="shared" si="12"/>
        <v>0</v>
      </c>
      <c r="I38" s="75">
        <f t="shared" si="12"/>
        <v>0</v>
      </c>
      <c r="J38" s="74">
        <f t="shared" si="3"/>
        <v>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980</v>
      </c>
      <c r="E40" s="438">
        <f>E17+E18+E19+E25+E38+E39</f>
        <v>81</v>
      </c>
      <c r="F40" s="438">
        <f aca="true" t="shared" si="13" ref="F40:R40">F17+F18+F19+F25+F38+F39</f>
        <v>24</v>
      </c>
      <c r="G40" s="438">
        <f t="shared" si="13"/>
        <v>1037</v>
      </c>
      <c r="H40" s="438">
        <f t="shared" si="13"/>
        <v>0</v>
      </c>
      <c r="I40" s="438">
        <f t="shared" si="13"/>
        <v>0</v>
      </c>
      <c r="J40" s="438">
        <f t="shared" si="13"/>
        <v>1037</v>
      </c>
      <c r="K40" s="438">
        <f t="shared" si="13"/>
        <v>673</v>
      </c>
      <c r="L40" s="438">
        <f t="shared" si="13"/>
        <v>97</v>
      </c>
      <c r="M40" s="438">
        <f t="shared" si="13"/>
        <v>8</v>
      </c>
      <c r="N40" s="438">
        <f t="shared" si="13"/>
        <v>762</v>
      </c>
      <c r="O40" s="438">
        <f t="shared" si="13"/>
        <v>0</v>
      </c>
      <c r="P40" s="438">
        <f t="shared" si="13"/>
        <v>0</v>
      </c>
      <c r="Q40" s="438">
        <f t="shared" si="13"/>
        <v>762</v>
      </c>
      <c r="R40" s="438">
        <f t="shared" si="13"/>
        <v>275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12.03.2008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92" sqref="C92:D9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КОРПОРАЦИЯ "УНИМАШ" АД - гр. ПЛОВДИВ</v>
      </c>
      <c r="C3" s="620"/>
      <c r="D3" s="526" t="s">
        <v>2</v>
      </c>
      <c r="E3" s="107">
        <f>'справка №1-БАЛАНС'!H3</f>
        <v>814189907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39447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tr">
        <f>'справка №1-БАЛАНС'!A98</f>
        <v>Дата на съставяне: 12.03.2008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22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КОРПОРАЦИЯ "УНИМАШ" АД - гр. ПЛОВДИВ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814189907</v>
      </c>
    </row>
    <row r="5" spans="1:9" ht="15">
      <c r="A5" s="501" t="s">
        <v>5</v>
      </c>
      <c r="B5" s="622">
        <f>'справка №1-БАЛАНС'!E5</f>
        <v>39447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460</v>
      </c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460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12.03.2008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15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КОРПОРАЦИЯ "УНИМАШ" АД - гр. ПЛОВДИВ</v>
      </c>
      <c r="C5" s="628"/>
      <c r="D5" s="628"/>
      <c r="E5" s="570" t="s">
        <v>2</v>
      </c>
      <c r="F5" s="451">
        <f>'справка №1-БАЛАНС'!H3</f>
        <v>814189907</v>
      </c>
    </row>
    <row r="6" spans="1:13" ht="15" customHeight="1">
      <c r="A6" s="27" t="s">
        <v>823</v>
      </c>
      <c r="B6" s="629">
        <f>'справка №1-БАЛАНС'!E5</f>
        <v>39447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6</v>
      </c>
      <c r="D12" s="441"/>
      <c r="E12" s="441"/>
      <c r="F12" s="443">
        <f>C12-E12</f>
        <v>6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6</v>
      </c>
      <c r="D27" s="429"/>
      <c r="E27" s="429">
        <f>SUM(E12:E26)</f>
        <v>0</v>
      </c>
      <c r="F27" s="442">
        <f>SUM(F12:F26)</f>
        <v>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6</v>
      </c>
      <c r="D79" s="429"/>
      <c r="E79" s="429">
        <f>E78+E61+E44+E27</f>
        <v>0</v>
      </c>
      <c r="F79" s="442">
        <f>F78+F61+F44+F27</f>
        <v>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12.03.2008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sokti1</cp:lastModifiedBy>
  <cp:lastPrinted>2008-03-27T13:39:24Z</cp:lastPrinted>
  <dcterms:created xsi:type="dcterms:W3CDTF">2000-06-29T12:02:40Z</dcterms:created>
  <dcterms:modified xsi:type="dcterms:W3CDTF">2008-03-30T19:37:41Z</dcterms:modified>
  <cp:category/>
  <cp:version/>
  <cp:contentType/>
  <cp:contentStatus/>
</cp:coreProperties>
</file>