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4305" windowWidth="15330" windowHeight="4350" tabRatio="881" firstSheet="1" activeTab="5"/>
  </bookViews>
  <sheets>
    <sheet name="справка № 1ИД-БАЛАНС" sheetId="1" r:id="rId1"/>
    <sheet name="справка № 2ИД-ОТЧЕТ ЗА ДОХОДИТЕ" sheetId="2" r:id="rId2"/>
    <sheet name="справка № 3ИД-ОПП" sheetId="3" r:id="rId3"/>
    <sheet name="справка № 4ИД-ОСК" sheetId="4" r:id="rId4"/>
    <sheet name="справка № 5ИД" sheetId="5" r:id="rId5"/>
    <sheet name="справка № 6ИД" sheetId="6" r:id="rId6"/>
    <sheet name="справка №7ИД" sheetId="7" r:id="rId7"/>
    <sheet name="справка № 8ИД" sheetId="8" r:id="rId8"/>
    <sheet name="справка №9" sheetId="9" r:id="rId9"/>
  </sheets>
  <definedNames>
    <definedName name="_xlnm.Print_Area" localSheetId="6">'справка №7ИД'!$A$1:$Q$156</definedName>
    <definedName name="_xlnm.Print_Titles" localSheetId="0">'справка № 1ИД-БАЛАНС'!$9:$9</definedName>
    <definedName name="_xlnm.Print_Titles" localSheetId="1">'справка № 2ИД-ОТЧЕТ ЗА ДОХОДИТЕ'!$10:$10</definedName>
    <definedName name="_xlnm.Print_Titles" localSheetId="2">'справка № 3ИД-ОПП'!$12:$12</definedName>
    <definedName name="_xlnm.Print_Titles" localSheetId="3">'справка № 4ИД-ОСК'!$11:$11</definedName>
    <definedName name="_xlnm.Print_Titles" localSheetId="4">'справка № 5ИД'!$11:$11</definedName>
    <definedName name="_xlnm.Print_Titles" localSheetId="6">'справка №7ИД'!$15:$15</definedName>
  </definedNames>
  <calcPr fullCalcOnLoad="1"/>
</workbook>
</file>

<file path=xl/sharedStrings.xml><?xml version="1.0" encoding="utf-8"?>
<sst xmlns="http://schemas.openxmlformats.org/spreadsheetml/2006/main" count="802" uniqueCount="470">
  <si>
    <t xml:space="preserve"> СЧЕТОВОДЕН  БАЛАНС </t>
  </si>
  <si>
    <t>Отчетен период: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</si>
  <si>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</si>
  <si>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</si>
  <si>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</si>
  <si>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</si>
  <si>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</si>
  <si>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</si>
  <si>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</si>
  <si>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</si>
  <si>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Дълготрайни материални активи</t>
  </si>
  <si>
    <t>2. Нематериални активи</t>
  </si>
  <si>
    <t>1. Парични средства в каса</t>
  </si>
  <si>
    <t>2. Парични средства по безсрочни депозити</t>
  </si>
  <si>
    <t>3. Парични средства по банкови депозити</t>
  </si>
  <si>
    <t>в т.ч. със срок  3 месеца до падежа</t>
  </si>
  <si>
    <t>4.Блокирани парични средства</t>
  </si>
  <si>
    <t xml:space="preserve">1.Държани за търгуване </t>
  </si>
  <si>
    <t>капиталови ценни книжа</t>
  </si>
  <si>
    <t>деривати на ценни книжа</t>
  </si>
  <si>
    <t>дългови ценни книжа</t>
  </si>
  <si>
    <t>други</t>
  </si>
  <si>
    <t>2. Обявени за продажба</t>
  </si>
  <si>
    <t xml:space="preserve">3. Други </t>
  </si>
  <si>
    <t>Общо за група I</t>
  </si>
  <si>
    <t xml:space="preserve">Общо за група II </t>
  </si>
  <si>
    <t>1. Материални запаси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</si>
  <si>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</si>
  <si>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</si>
  <si>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</si>
  <si>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</si>
  <si>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</si>
  <si>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</si>
  <si>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</si>
  <si>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</si>
  <si>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</si>
  <si>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</si>
  <si>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</si>
  <si>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>ІІ. Нефинансови разходи</t>
  </si>
  <si>
    <t xml:space="preserve">3. Разходи за амортизация </t>
  </si>
  <si>
    <t>4. Разходи за заплати, социално и пенсионно осигуряване</t>
  </si>
  <si>
    <t>5. Други</t>
  </si>
  <si>
    <t>Общо за група ІІ</t>
  </si>
  <si>
    <t>Б.Общо разходи за дейността (І+ІІ)</t>
  </si>
  <si>
    <t>В. Печалба от обичайната  дейност</t>
  </si>
  <si>
    <t>А. СОБСТВЕН КАПИТАЛ</t>
  </si>
  <si>
    <t xml:space="preserve">I. ФИНАНСОВИ АКТИВИ </t>
  </si>
  <si>
    <t>I. ОСНОВЕН КАПИТАЛ</t>
  </si>
  <si>
    <t>1. Капиталови ценни книжа</t>
  </si>
  <si>
    <t>II. РЕЗЕРВИ</t>
  </si>
  <si>
    <t>2. Държани до настъпване на падеж</t>
  </si>
  <si>
    <t>1. Премийни резерви при емитиране на акции</t>
  </si>
  <si>
    <t>3. Други</t>
  </si>
  <si>
    <t>2. Резерви от последващи оценки на активи и пасиви</t>
  </si>
  <si>
    <t>Общо за групата I</t>
  </si>
  <si>
    <t>3. Целеви резерви, в т.ч.:</t>
  </si>
  <si>
    <t xml:space="preserve">II. НЕТЕКУЩИ НЕФИНАНСОВИ АКТИВИ </t>
  </si>
  <si>
    <t>общи</t>
  </si>
  <si>
    <t>специални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</si>
  <si>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</si>
  <si>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</si>
  <si>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</si>
  <si>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</si>
  <si>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</si>
  <si>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</si>
  <si>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</si>
  <si>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</si>
  <si>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</si>
  <si>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</si>
  <si>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</si>
  <si>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1. Задължения по получени заеми към банки</t>
  </si>
  <si>
    <t>I. ТЕКУЩИ ЗАДЪЛЖЕНИЯ</t>
  </si>
  <si>
    <t>II. ТЕКУЩИ ФИНАНСОВИ АКТИВИ</t>
  </si>
  <si>
    <t>III. НЕФИНАНСОВИ АКТИВИ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</si>
  <si>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</si>
  <si>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</si>
  <si>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</si>
  <si>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</si>
  <si>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</si>
  <si>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</si>
  <si>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</si>
  <si>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</si>
  <si>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3. Отрицателни разлики от промяна на валутни курсове</t>
  </si>
  <si>
    <t>4. Приходи от лихви</t>
  </si>
  <si>
    <t>ІІ. Нефинансови приходи</t>
  </si>
  <si>
    <t>Б. Общо приходи от дейността (I+II)</t>
  </si>
  <si>
    <t>В. Загуба от дейността</t>
  </si>
  <si>
    <t>ІІІ. Извънредни разходи</t>
  </si>
  <si>
    <t>ІІІ. Извънредни приходи</t>
  </si>
  <si>
    <t>ВСИЧКО (Г+Е)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</si>
  <si>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</si>
  <si>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</si>
  <si>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</si>
  <si>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</si>
  <si>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</si>
  <si>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</si>
  <si>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</si>
  <si>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</si>
  <si>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</si>
  <si>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</si>
  <si>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</si>
  <si>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</si>
  <si>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</si>
  <si>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специали
зирани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</si>
  <si>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</si>
  <si>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</si>
  <si>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</si>
  <si>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</si>
  <si>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</si>
  <si>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</si>
  <si>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</si>
  <si>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</si>
  <si>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</si>
  <si>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</si>
  <si>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</si>
  <si>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</si>
  <si>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</si>
  <si>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</t>
  </si>
  <si>
    <t xml:space="preserve">увеличения    </t>
  </si>
  <si>
    <t>намаления</t>
  </si>
  <si>
    <t>4. Последващи оценки на финансови активи и инструменти, в т.ч.</t>
  </si>
  <si>
    <t xml:space="preserve">5. Ефект от отсрочени данъци </t>
  </si>
  <si>
    <t>6. Други изменения</t>
  </si>
  <si>
    <t xml:space="preserve">Салдо към края на отчетния период </t>
  </si>
  <si>
    <t>7. Промени от преводи на годишни финансови отчети на предприятия в чужбина</t>
  </si>
  <si>
    <t>8. Промени от преизчисляване на финансови отчети при свръхинфлация</t>
  </si>
  <si>
    <t xml:space="preserve">Собствен капитал 
към края на отчетния период </t>
  </si>
  <si>
    <t xml:space="preserve">Съставител: …………... </t>
  </si>
  <si>
    <t xml:space="preserve"> Ръководител…………….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</si>
  <si>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</si>
  <si>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</si>
  <si>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</si>
  <si>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</si>
  <si>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</si>
  <si>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А. Парични потоци от специализирана инвестиционна дейност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</si>
  <si>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</si>
  <si>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</si>
  <si>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комисиони, дивиденти и др. подобни</t>
  </si>
  <si>
    <t>Положителни и отрицателни валутни курсови разлики</t>
  </si>
  <si>
    <t>Всичко парични потоци от специализирана инвестиционна дейност (А):</t>
  </si>
  <si>
    <t>Парични потоци, свързани с търговски контрагенти</t>
  </si>
  <si>
    <t>Плащания при разпределения на печалби</t>
  </si>
  <si>
    <t>Платени и възстановени данъци върху печалба</t>
  </si>
  <si>
    <t>Други парични потоци от неспециализирана инвестицонна дейност</t>
  </si>
  <si>
    <t>Всичко парични потоци от неспециализирана инвестиционна дейност (Б)</t>
  </si>
  <si>
    <t>В. Парични потоци от финансова дейност</t>
  </si>
  <si>
    <t>Други парични потоци от финансова дейност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</si>
  <si>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</si>
  <si>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</si>
  <si>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</si>
  <si>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</si>
  <si>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</si>
  <si>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</si>
  <si>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</si>
  <si>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Емитиране, продажба и обратно изкупуване на акции</t>
  </si>
  <si>
    <t xml:space="preserve">Парични потоци, свързани с получени  заеми, в т.ч. 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</si>
  <si>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</si>
  <si>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</si>
  <si>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</si>
  <si>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</si>
  <si>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</si>
  <si>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</si>
  <si>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</si>
  <si>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</si>
  <si>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</si>
  <si>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</si>
  <si>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>над една година</t>
  </si>
  <si>
    <t xml:space="preserve">Общо вземания: </t>
  </si>
  <si>
    <t>Сума на задължението</t>
  </si>
  <si>
    <t>Степен на изискуемост</t>
  </si>
  <si>
    <t>Стойност</t>
  </si>
  <si>
    <t>до 3 месеца</t>
  </si>
  <si>
    <t xml:space="preserve"> до една година </t>
  </si>
  <si>
    <t xml:space="preserve"> над една година </t>
  </si>
  <si>
    <t>В началото на годината</t>
  </si>
  <si>
    <t>Увеличение</t>
  </si>
  <si>
    <t>Намаление</t>
  </si>
  <si>
    <t>В края на годината</t>
  </si>
  <si>
    <t>Обща сума: (1 + 2 + 3 )</t>
  </si>
  <si>
    <t>Съставител:……….</t>
  </si>
  <si>
    <t>Ръководител:……….</t>
  </si>
  <si>
    <t>корпоративни данъци</t>
  </si>
  <si>
    <t>от осигурителни предприятия</t>
  </si>
  <si>
    <t>по липси и начети</t>
  </si>
  <si>
    <t>по рекламации</t>
  </si>
  <si>
    <t>други  данъци</t>
  </si>
  <si>
    <t xml:space="preserve">Общо задължения: </t>
  </si>
  <si>
    <t>Справка</t>
  </si>
  <si>
    <t xml:space="preserve"> за вземанията, задълженията и провизиите </t>
  </si>
  <si>
    <t>Вид и брой на ценните книжа</t>
  </si>
  <si>
    <t>Стойност на ценните книжа</t>
  </si>
  <si>
    <t>обикновени</t>
  </si>
  <si>
    <t xml:space="preserve">поименни </t>
  </si>
  <si>
    <t>конвертируеми</t>
  </si>
  <si>
    <t>По пазарна цена</t>
  </si>
  <si>
    <t>По справедлива стойност</t>
  </si>
  <si>
    <t>корпоративни</t>
  </si>
  <si>
    <t>общински</t>
  </si>
  <si>
    <t>ипотечни</t>
  </si>
  <si>
    <t xml:space="preserve">други </t>
  </si>
  <si>
    <t>опции</t>
  </si>
  <si>
    <t>Съставител: .....................…………..</t>
  </si>
  <si>
    <t>Ръководител:.......................</t>
  </si>
  <si>
    <t>Инвестиционен рейтинг</t>
  </si>
  <si>
    <t>Индекс на регулирания пазар</t>
  </si>
  <si>
    <t>Регулиран пазар, на който са приети за търговия, както и сигмент</t>
  </si>
  <si>
    <t>Рейтингова агенция</t>
  </si>
  <si>
    <t>Код на емисия</t>
  </si>
  <si>
    <t>11а</t>
  </si>
  <si>
    <t>11б</t>
  </si>
  <si>
    <t>12а</t>
  </si>
  <si>
    <t>12б</t>
  </si>
  <si>
    <t>Преоценка</t>
  </si>
  <si>
    <t>Отчетна стойност</t>
  </si>
  <si>
    <t>Преоценена стойност (10+11а-11б+12а-12б)</t>
  </si>
  <si>
    <t xml:space="preserve">Обща сума по т.1 </t>
  </si>
  <si>
    <t>Обща сума по т.2</t>
  </si>
  <si>
    <t>Обща сума по т.3</t>
  </si>
  <si>
    <t>Обща сума І:</t>
  </si>
  <si>
    <t>Обща сума по т. 1</t>
  </si>
  <si>
    <t>Обща сума по т. 3</t>
  </si>
  <si>
    <t>Преоценена стойност в процент към стойността на активите по баланса на дружеството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</si>
  <si>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</si>
  <si>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</si>
  <si>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</si>
  <si>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</si>
  <si>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</si>
  <si>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</si>
  <si>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</si>
  <si>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</si>
  <si>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</si>
  <si>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</si>
  <si>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</si>
  <si>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държавни ценни книжа </t>
  </si>
  <si>
    <t>Обща сума ІІ:</t>
  </si>
  <si>
    <t>Общ сбор ( I+ II+ III)</t>
  </si>
  <si>
    <t xml:space="preserve">                                                                                                                  </t>
  </si>
  <si>
    <t>Обща сума І</t>
  </si>
  <si>
    <t>Обща сума ІІ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</si>
  <si>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</si>
  <si>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</si>
  <si>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</si>
  <si>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брой</t>
  </si>
  <si>
    <t>лева</t>
  </si>
  <si>
    <t xml:space="preserve">2. Вземания </t>
  </si>
  <si>
    <t>Съставител:……………………….</t>
  </si>
  <si>
    <t>Ръководител:………………………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</si>
  <si>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ИД:</t>
    </r>
  </si>
  <si>
    <t>3. Положителни разлики от промяна на валутни курсове</t>
  </si>
  <si>
    <t>1. Разходи за материални запаси</t>
  </si>
  <si>
    <t>Б. Парични потоци от неспециализирана инвестиционна дейност</t>
  </si>
  <si>
    <t>Съставител: ………………….</t>
  </si>
  <si>
    <t>Ръководител:…………………..</t>
  </si>
  <si>
    <t xml:space="preserve">І. Финансови активи 
</t>
  </si>
  <si>
    <t>ІІ. Имоти, машини, съоражене, и оборудване</t>
  </si>
  <si>
    <t>1. Сгради</t>
  </si>
  <si>
    <t>2. Машини и оборудване</t>
  </si>
  <si>
    <t>3. Транспорни средства</t>
  </si>
  <si>
    <t>ІІІ. Нематериални активи</t>
  </si>
  <si>
    <t>квалифицирани дългови ценни книжа</t>
  </si>
  <si>
    <t>други инвестиции</t>
  </si>
  <si>
    <t>Съставител:……………….</t>
  </si>
  <si>
    <t>Преоценена стойност (4+5-6)</t>
  </si>
  <si>
    <t>Амортизация</t>
  </si>
  <si>
    <t>2. Държани до настъпване на падежа, в т.ч.:</t>
  </si>
  <si>
    <t xml:space="preserve">Справка № 6 ИД
</t>
  </si>
  <si>
    <t>( в лева)</t>
  </si>
  <si>
    <t>І. Краткосрочни вземания</t>
  </si>
  <si>
    <t>1. Вземания от свързани предприятия</t>
  </si>
  <si>
    <t>2. Вземания от клиенти и доставчици</t>
  </si>
  <si>
    <t>3. Вземания от предоставени аванси</t>
  </si>
  <si>
    <t>4. Съдебни вземания</t>
  </si>
  <si>
    <t>5. Присъдени вземания</t>
  </si>
  <si>
    <t>6. Вземания от съучастия (дивиденти)</t>
  </si>
  <si>
    <t>7. Вземания от лихви</t>
  </si>
  <si>
    <t>други данъци</t>
  </si>
  <si>
    <t>9. Други краткосрочни вземания, в. т. ч.:</t>
  </si>
  <si>
    <t>ІІ. Краткосрочни задължения</t>
  </si>
  <si>
    <t xml:space="preserve">1. Задължения по дивиденти </t>
  </si>
  <si>
    <t>3. Задължения към доставчици</t>
  </si>
  <si>
    <t xml:space="preserve">4. Задължения по получени аванси </t>
  </si>
  <si>
    <t>5. Задължения към персонала</t>
  </si>
  <si>
    <t>7. Задължения към осигурителни предприятия</t>
  </si>
  <si>
    <t>8. Задължения по обратно изкупуване на акции</t>
  </si>
  <si>
    <t>9. Задължения към управляващо дружество</t>
  </si>
  <si>
    <t>10. Задължения към банка депозитар</t>
  </si>
  <si>
    <t>неплатени лихви</t>
  </si>
  <si>
    <t>просрочени</t>
  </si>
  <si>
    <t>1. Провизии за правни задължения</t>
  </si>
  <si>
    <t>2. Провизии за конструктивни задължения</t>
  </si>
  <si>
    <t>3. Други провизии</t>
  </si>
  <si>
    <t>Б. ЗАДЪЛЖЕНИЯ</t>
  </si>
  <si>
    <t>В. ПРОВИЗИИ</t>
  </si>
  <si>
    <t>8. Данъци за възстановяване, в т.ч.:</t>
  </si>
  <si>
    <t>6. Данъчни задължения, в т.ч.:</t>
  </si>
  <si>
    <t>11. Други краткосрочни задължения, в т.ч.:</t>
  </si>
  <si>
    <t>А. Нетекущи финансови активи</t>
  </si>
  <si>
    <t>2. Облигации</t>
  </si>
  <si>
    <t>4. Други права, свързани с акции, облигации и други дългови инструменти</t>
  </si>
  <si>
    <t>Обща сума по т.4</t>
  </si>
  <si>
    <t>Б. Текущи финансови активи</t>
  </si>
  <si>
    <t>І. Финансови активи, държани за търгуване</t>
  </si>
  <si>
    <t>2. Изкупени собствени акции</t>
  </si>
  <si>
    <t>3. Облигации</t>
  </si>
  <si>
    <t>варанти</t>
  </si>
  <si>
    <t>5. Държавни ценни книжа</t>
  </si>
  <si>
    <t>ІІ. Финансови активи, обявени за продажба</t>
  </si>
  <si>
    <t>Обща сума по т. 4</t>
  </si>
  <si>
    <t>Обща сума раздел А</t>
  </si>
  <si>
    <t>Обща сума раздел Б</t>
  </si>
  <si>
    <t>4. Други дългови инструменти, в т.ч.:</t>
  </si>
  <si>
    <t>Справка №7 ИД</t>
  </si>
  <si>
    <t>Справка №8 ИД</t>
  </si>
  <si>
    <t xml:space="preserve"> за участията в капиталите на други предприятия </t>
  </si>
  <si>
    <t>Справка №5 ИД</t>
  </si>
  <si>
    <t>Обща сума по т. 5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</si>
  <si>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</si>
  <si>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</si>
  <si>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</si>
  <si>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</si>
  <si>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</si>
  <si>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</si>
  <si>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1.Лихви по разплащателни сметки</t>
  </si>
  <si>
    <t>2. Лихви по депозитни сметки</t>
  </si>
  <si>
    <t>4.Лихви по ДЦК</t>
  </si>
  <si>
    <t>5.Други лихви</t>
  </si>
  <si>
    <t>1. Лихви по краткосрочни заеми, в т.ч.</t>
  </si>
  <si>
    <t>редовни заеми в левове</t>
  </si>
  <si>
    <t>просрочени заеми в левове</t>
  </si>
  <si>
    <t>2. Лихви по неизплатени заплати в срок</t>
  </si>
  <si>
    <t>3. Лихви по държавни вземания</t>
  </si>
  <si>
    <t>4. Лихви по търговски задължения</t>
  </si>
  <si>
    <t>Обща сума на раздел ІІ</t>
  </si>
  <si>
    <t>Справка №9 ИД</t>
  </si>
  <si>
    <t>ЕИК по БУЛСТАТ:</t>
  </si>
  <si>
    <t>ІІ. Разходи за лихви</t>
  </si>
  <si>
    <t>Обща сума на  раздел І</t>
  </si>
  <si>
    <t xml:space="preserve">      Ръководител:…………... </t>
  </si>
  <si>
    <t>1. Задължения към акционерите за дивиденти</t>
  </si>
  <si>
    <t>към банки</t>
  </si>
  <si>
    <t>2. Задължения към финансови предприятия, в т.ч.:</t>
  </si>
  <si>
    <t>4. Задължения към персонала</t>
  </si>
  <si>
    <t>5. Данъчни задължения</t>
  </si>
  <si>
    <t>6. Задължения към осигурителни предприятия</t>
  </si>
  <si>
    <t>7. Други</t>
  </si>
  <si>
    <t xml:space="preserve">Справка №1 ИД </t>
  </si>
  <si>
    <t>Г. Общо разходи (І+ІІ+ІІІ)</t>
  </si>
  <si>
    <t>ІV. Разходи за данъци</t>
  </si>
  <si>
    <t>1. Корпоративни данъци</t>
  </si>
  <si>
    <t>2. Други</t>
  </si>
  <si>
    <t>Общо за група ІV</t>
  </si>
  <si>
    <t>Д. Печалба преди облагане с данъци (В-ІІІ)</t>
  </si>
  <si>
    <t>Д. Загуба преди облагане с данъци (В+ІІІ)</t>
  </si>
  <si>
    <t>ВСИЧКО (Г+ІV+Е)</t>
  </si>
  <si>
    <t>Е. Нетна печалба за периода (Д-ІV)</t>
  </si>
  <si>
    <t>Е. Нетна загуба за периода (Д+ІV)</t>
  </si>
  <si>
    <t xml:space="preserve">2. Отрицателни разлики от операции с финансови активи, в т.ч. </t>
  </si>
  <si>
    <t>Справка №2 ИД</t>
  </si>
  <si>
    <t>Справка №З ИД</t>
  </si>
  <si>
    <t>Е. Парични средства в края на периода, в т.ч.:</t>
  </si>
  <si>
    <t>по безсрочни депозити</t>
  </si>
  <si>
    <t>Справка №4 ИД</t>
  </si>
  <si>
    <r>
      <t>2. Задължения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банки, в т.ч.:</t>
    </r>
  </si>
  <si>
    <r>
      <t>Забележка: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</si>
  <si>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за ценните книжа</t>
  </si>
  <si>
    <r>
      <t>1. Акции в</t>
    </r>
    <r>
      <rPr>
        <b/>
        <sz val="10"/>
        <rFont val="Times New Roman"/>
        <family val="1"/>
      </rPr>
      <t xml:space="preserve"> </t>
    </r>
  </si>
  <si>
    <r>
      <t xml:space="preserve">Забележка: </t>
    </r>
    <r>
      <rPr>
        <sz val="10"/>
        <rFont val="Times New Roman"/>
        <family val="1"/>
      </rPr>
      <t>1</t>
    </r>
    <r>
      <rPr>
        <sz val="10"/>
        <color indexed="10"/>
        <rFont val="Times New Roman"/>
        <family val="1"/>
      </rPr>
      <t xml:space="preserve">. </t>
    </r>
    <r>
      <rPr>
        <sz val="10"/>
        <rFont val="Times New Roman"/>
        <family val="1"/>
      </rPr>
      <t>За ценните книжа се представят данни по публични дружества/емитенти, съответно по емитент. Д.а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Предприятията, които притежават чуждестранни ценни книжа, съставят отделна справка за всяка страна.</t>
    </r>
  </si>
  <si>
    <t xml:space="preserve">Справка </t>
  </si>
  <si>
    <t>за нетекущите активи</t>
  </si>
  <si>
    <t>4. Държавни ценни книжа</t>
  </si>
  <si>
    <t>Г. Общо приходи (І+ІІ+ІІІ)</t>
  </si>
  <si>
    <t>в лева</t>
  </si>
  <si>
    <t>Индустриален фонд АД</t>
  </si>
  <si>
    <t>Наименование на ИД :  Индустриален фонд АД</t>
  </si>
  <si>
    <t>Наименование на ИД:      Индустриален фонд АД</t>
  </si>
  <si>
    <t>Ръководител:________________________</t>
  </si>
  <si>
    <t>Съставител:____________</t>
  </si>
  <si>
    <t>А.</t>
  </si>
  <si>
    <t>В страната</t>
  </si>
  <si>
    <t>I</t>
  </si>
  <si>
    <t>В асоциирани предприятия</t>
  </si>
  <si>
    <t>Обща сума I:</t>
  </si>
  <si>
    <t>II</t>
  </si>
  <si>
    <t xml:space="preserve">В други предприятия </t>
  </si>
  <si>
    <t>1. .........................................</t>
  </si>
  <si>
    <t>2. ..........................................</t>
  </si>
  <si>
    <t>3...........................................</t>
  </si>
  <si>
    <t>4. ..........................................</t>
  </si>
  <si>
    <t>Обща сума II:</t>
  </si>
  <si>
    <t>Обща сума за страната(I + II):</t>
  </si>
  <si>
    <t>Б.</t>
  </si>
  <si>
    <t>В чужбина</t>
  </si>
  <si>
    <t>I.</t>
  </si>
  <si>
    <t>В други предприятия</t>
  </si>
  <si>
    <t>1. .......................................</t>
  </si>
  <si>
    <t>2..........................................</t>
  </si>
  <si>
    <t>3. ..........................................</t>
  </si>
  <si>
    <t>Обща сума за чужбина(I + II):</t>
  </si>
  <si>
    <t>Съставител:</t>
  </si>
  <si>
    <t xml:space="preserve">    Ръководител:</t>
  </si>
  <si>
    <t>Профит Мениджмънт ООД</t>
  </si>
  <si>
    <t>Компенсаторни инструменти</t>
  </si>
  <si>
    <r>
      <t xml:space="preserve">Акции </t>
    </r>
    <r>
      <rPr>
        <sz val="8"/>
        <rFont val="Arial"/>
        <family val="2"/>
      </rPr>
      <t>в</t>
    </r>
    <r>
      <rPr>
        <b/>
        <sz val="8"/>
        <rFont val="Arial"/>
        <family val="2"/>
      </rPr>
      <t xml:space="preserve"> </t>
    </r>
  </si>
  <si>
    <t>Ю121247332</t>
  </si>
  <si>
    <t>ЕИК по БУЛСТАТ: Ю121247332</t>
  </si>
  <si>
    <t>Слънчев бряг АД</t>
  </si>
  <si>
    <t>2. Разходи за външни услуги</t>
  </si>
  <si>
    <r>
      <t>Парични потоци, свързани с</t>
    </r>
    <r>
      <rPr>
        <sz val="10"/>
        <rFont val="Times New Roman"/>
        <family val="1"/>
      </rPr>
      <t xml:space="preserve"> нетекущи активи</t>
    </r>
  </si>
  <si>
    <t>3. Лихви по дългови ценни книжа</t>
  </si>
  <si>
    <t>BG1100052049</t>
  </si>
  <si>
    <t>BG11AGDEAT18</t>
  </si>
  <si>
    <t>Агрополихим АД</t>
  </si>
  <si>
    <t>Асеновград БТ АД</t>
  </si>
  <si>
    <t>BG11DUDUBT16</t>
  </si>
  <si>
    <t>Дупница БТ АД</t>
  </si>
  <si>
    <t>BG11HAHABT16</t>
  </si>
  <si>
    <t>Хасково БТ АД</t>
  </si>
  <si>
    <t>Исперих БТ АД</t>
  </si>
  <si>
    <t>Лавена АД, Шумен</t>
  </si>
  <si>
    <t>BG11PAPABT16</t>
  </si>
  <si>
    <t>Пазарджик БТ АД</t>
  </si>
  <si>
    <t>Пловдив БТ АД</t>
  </si>
  <si>
    <t>BG11PODEAT11</t>
  </si>
  <si>
    <t>Полимери АД</t>
  </si>
  <si>
    <t>BG11SUSUVT18</t>
  </si>
  <si>
    <t>Шумен БТ АД</t>
  </si>
  <si>
    <t>BG11SLSTAT17</t>
  </si>
  <si>
    <t>Слънце - Ст.Загора БТ АД</t>
  </si>
  <si>
    <t>Свиневъдство Преславец АД</t>
  </si>
  <si>
    <t>ИД ОББ Балансиран Фонд АД</t>
  </si>
  <si>
    <t>Ямболен АД</t>
  </si>
  <si>
    <t>Екотаб АД Кочериново</t>
  </si>
  <si>
    <t>Златни пясъци АД</t>
  </si>
  <si>
    <t>ИД TBI Евро Бонд АД</t>
  </si>
  <si>
    <t>към 31.12.2007</t>
  </si>
  <si>
    <t>Дата: 28.01.2008</t>
  </si>
  <si>
    <t>Отчетен период:    Януари-Декември 2007</t>
  </si>
  <si>
    <t>Отчетен период:    Януари-Декемвври 2007</t>
  </si>
  <si>
    <t>Отчетен период:    към 31.12.2007</t>
  </si>
  <si>
    <t>BG11ASASVT16</t>
  </si>
  <si>
    <t>ЗПАД БУЛСТРАД - СОФИЯ</t>
  </si>
  <si>
    <t>BG1100015046</t>
  </si>
  <si>
    <t>БУЛГАРТАБАК ХОЛДИНГ АД</t>
  </si>
  <si>
    <t>BG11BUSOGT14</t>
  </si>
  <si>
    <t>Химимпорт АД</t>
  </si>
  <si>
    <t>BG1100046066</t>
  </si>
  <si>
    <t>КОРПОРАТИВНА ТЪРГ. БАНКА АД</t>
  </si>
  <si>
    <t>BG1100129052</t>
  </si>
  <si>
    <t>ПЪРВА ИНВЕСТИЦИОННА БАНКА АД</t>
  </si>
  <si>
    <t>BG1100106050</t>
  </si>
  <si>
    <t>BG11ISISAT15</t>
  </si>
  <si>
    <t>КАОЛИН АД</t>
  </si>
  <si>
    <t>BG1100039012</t>
  </si>
  <si>
    <t>BG11LASUAT14</t>
  </si>
  <si>
    <t>Пингвините ЕАД</t>
  </si>
  <si>
    <t>BG11PLPLGT15</t>
  </si>
  <si>
    <t>СОФАРМА АД</t>
  </si>
  <si>
    <t>BG11SOSOBT18</t>
  </si>
  <si>
    <t>BG11SLNEAT19</t>
  </si>
  <si>
    <t>BG11SVHAAT19</t>
  </si>
  <si>
    <t>BG1100093035</t>
  </si>
  <si>
    <t>BG11JMJMBT14</t>
  </si>
  <si>
    <t>Зърнени Храни България АД</t>
  </si>
  <si>
    <t>BG1100109070</t>
  </si>
  <si>
    <t>BG11ZKKOAT12</t>
  </si>
  <si>
    <t>BG11ZLVAAT14</t>
  </si>
  <si>
    <t>Други</t>
  </si>
  <si>
    <t>Общо</t>
  </si>
  <si>
    <t xml:space="preserve">Дата: 28.01.2008                Съставител:…………... </t>
  </si>
  <si>
    <t>Дата: 28.01.2007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</si>
</sst>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;[Red]\(#,##0\)"/>
    <numFmt numFmtId="173" formatCode="#,##0.0"/>
    <numFmt numFmtId="174" formatCode="0.000"/>
    <numFmt numFmtId="175" formatCode="0.0"/>
    <numFmt numFmtId="176" formatCode="#,##0.0;[Red]\(#,##0.0\)"/>
    <numFmt numFmtId="177" formatCode="#,##0.00;[Red]\(#,##0.00\)"/>
    <numFmt numFmtId="178" formatCode="0.0%"/>
    <numFmt numFmtId="179" formatCode="#,##0.000;[Red]\(#,##0.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00"/>
    <numFmt numFmtId="185" formatCode="0.0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%"/>
    <numFmt numFmtId="193" formatCode="#,##0.0000;[Red]\(#,##0.0000\)"/>
    <numFmt numFmtId="194" formatCode="#,##0.000"/>
    <numFmt numFmtId="195" formatCode="#,##0.0000"/>
  </numFmts>
  <fonts count="31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name val="TmsCyr"/>
      <family val="0"/>
    </font>
    <font>
      <sz val="11"/>
      <name val="Arial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sz val="9"/>
      <color indexed="10"/>
      <name val="Times New Roman"/>
      <family val="1"/>
    </font>
    <font>
      <sz val="7.5"/>
      <name val="Arial"/>
      <family val="0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46">
    <xf numFmtId="0" fontId="0" fillId="0" borderId="0" xfId="0" applyAlignment="1">
      <alignment/>
    </xf>
    <xf numFmtId="49" fontId="1" fillId="0" borderId="1" xfId="23" applyNumberFormat="1" applyFont="1" applyBorder="1" applyAlignment="1" applyProtection="1">
      <alignment horizontal="center" vertical="center" wrapText="1"/>
      <protection/>
    </xf>
    <xf numFmtId="0" fontId="1" fillId="0" borderId="0" xfId="23" applyFont="1" applyBorder="1" applyAlignment="1" applyProtection="1">
      <alignment horizontal="center" vertical="center" wrapText="1"/>
      <protection locked="0"/>
    </xf>
    <xf numFmtId="0" fontId="1" fillId="0" borderId="0" xfId="23" applyFont="1" applyAlignment="1" applyProtection="1">
      <alignment horizontal="center" vertical="center" wrapText="1"/>
      <protection locked="0"/>
    </xf>
    <xf numFmtId="0" fontId="3" fillId="0" borderId="0" xfId="23" applyFont="1" applyAlignment="1" applyProtection="1">
      <alignment horizontal="center" vertical="center" wrapText="1"/>
      <protection locked="0"/>
    </xf>
    <xf numFmtId="0" fontId="3" fillId="0" borderId="0" xfId="23" applyFont="1" applyBorder="1" applyAlignment="1" applyProtection="1">
      <alignment horizontal="center" vertical="center" wrapText="1"/>
      <protection locked="0"/>
    </xf>
    <xf numFmtId="0" fontId="1" fillId="0" borderId="0" xfId="24" applyFont="1" applyAlignment="1" applyProtection="1">
      <alignment horizontal="center" vertical="center" wrapText="1"/>
      <protection locked="0"/>
    </xf>
    <xf numFmtId="0" fontId="1" fillId="0" borderId="1" xfId="23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7" fillId="0" borderId="0" xfId="23" applyFont="1" applyBorder="1" applyAlignment="1" applyProtection="1">
      <alignment vertical="top" wrapText="1"/>
      <protection locked="0"/>
    </xf>
    <xf numFmtId="0" fontId="8" fillId="0" borderId="0" xfId="25" applyFont="1" applyBorder="1" applyAlignment="1" applyProtection="1">
      <alignment horizontal="centerContinuous"/>
      <protection locked="0"/>
    </xf>
    <xf numFmtId="0" fontId="7" fillId="0" borderId="0" xfId="25" applyFont="1" applyBorder="1" applyAlignment="1" applyProtection="1">
      <alignment horizontal="centerContinuous"/>
      <protection locked="0"/>
    </xf>
    <xf numFmtId="0" fontId="8" fillId="0" borderId="0" xfId="25" applyFont="1" applyBorder="1" applyAlignment="1" applyProtection="1">
      <alignment/>
      <protection locked="0"/>
    </xf>
    <xf numFmtId="0" fontId="8" fillId="0" borderId="0" xfId="25" applyFont="1" applyBorder="1" applyAlignment="1" applyProtection="1">
      <alignment wrapText="1"/>
      <protection locked="0"/>
    </xf>
    <xf numFmtId="0" fontId="8" fillId="0" borderId="0" xfId="25" applyFont="1" applyBorder="1" applyProtection="1">
      <alignment/>
      <protection locked="0"/>
    </xf>
    <xf numFmtId="0" fontId="7" fillId="0" borderId="1" xfId="25" applyFont="1" applyBorder="1" applyAlignment="1" applyProtection="1">
      <alignment horizontal="center" vertical="center" wrapText="1"/>
      <protection/>
    </xf>
    <xf numFmtId="0" fontId="7" fillId="0" borderId="1" xfId="25" applyFont="1" applyBorder="1" applyAlignment="1" applyProtection="1">
      <alignment vertical="center" wrapText="1"/>
      <protection/>
    </xf>
    <xf numFmtId="3" fontId="7" fillId="0" borderId="1" xfId="25" applyNumberFormat="1" applyFont="1" applyBorder="1" applyAlignment="1" applyProtection="1">
      <alignment vertical="center"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4" fillId="2" borderId="1" xfId="23" applyFont="1" applyFill="1" applyBorder="1" applyAlignment="1" applyProtection="1">
      <alignment horizontal="left" vertical="top" wrapText="1"/>
      <protection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 horizontal="left" wrapText="1"/>
    </xf>
    <xf numFmtId="0" fontId="7" fillId="0" borderId="0" xfId="26" applyFont="1" applyFill="1" applyAlignment="1">
      <alignment horizontal="left" vertical="justify" wrapText="1"/>
      <protection/>
    </xf>
    <xf numFmtId="0" fontId="7" fillId="0" borderId="0" xfId="26" applyFont="1" applyFill="1" applyAlignment="1">
      <alignment horizontal="left" vertical="justify"/>
      <protection/>
    </xf>
    <xf numFmtId="0" fontId="8" fillId="0" borderId="0" xfId="26" applyFont="1" applyFill="1" applyAlignment="1">
      <alignment horizontal="left" vertical="justify"/>
      <protection/>
    </xf>
    <xf numFmtId="0" fontId="7" fillId="0" borderId="0" xfId="23" applyFont="1" applyFill="1" applyBorder="1" applyAlignment="1" applyProtection="1">
      <alignment horizontal="left" vertical="justify" wrapText="1"/>
      <protection locked="0"/>
    </xf>
    <xf numFmtId="0" fontId="7" fillId="0" borderId="0" xfId="26" applyFont="1" applyFill="1" applyBorder="1" applyAlignment="1" applyProtection="1">
      <alignment horizontal="left" vertical="justify" wrapText="1"/>
      <protection/>
    </xf>
    <xf numFmtId="0" fontId="7" fillId="0" borderId="0" xfId="26" applyFont="1" applyFill="1" applyAlignment="1" applyProtection="1">
      <alignment horizontal="left" vertical="justify"/>
      <protection locked="0"/>
    </xf>
    <xf numFmtId="0" fontId="7" fillId="0" borderId="2" xfId="23" applyFont="1" applyFill="1" applyBorder="1" applyAlignment="1" applyProtection="1">
      <alignment horizontal="left" vertical="justify" wrapText="1"/>
      <protection locked="0"/>
    </xf>
    <xf numFmtId="0" fontId="7" fillId="0" borderId="0" xfId="26" applyFont="1" applyFill="1" applyBorder="1" applyAlignment="1">
      <alignment horizontal="left" vertical="justify" wrapText="1"/>
      <protection/>
    </xf>
    <xf numFmtId="0" fontId="7" fillId="0" borderId="0" xfId="26" applyFont="1" applyFill="1" applyBorder="1" applyAlignment="1" applyProtection="1">
      <alignment horizontal="left" vertical="justify" wrapText="1"/>
      <protection locked="0"/>
    </xf>
    <xf numFmtId="3" fontId="8" fillId="0" borderId="0" xfId="26" applyNumberFormat="1" applyFont="1" applyFill="1" applyBorder="1" applyAlignment="1" applyProtection="1">
      <alignment horizontal="left" vertical="justify"/>
      <protection locked="0"/>
    </xf>
    <xf numFmtId="0" fontId="8" fillId="0" borderId="0" xfId="26" applyFont="1" applyFill="1" applyBorder="1" applyAlignment="1" applyProtection="1">
      <alignment horizontal="left" vertical="justify"/>
      <protection locked="0"/>
    </xf>
    <xf numFmtId="0" fontId="7" fillId="0" borderId="0" xfId="26" applyFont="1" applyFill="1" applyBorder="1" applyAlignment="1" applyProtection="1">
      <alignment horizontal="left" vertical="justify"/>
      <protection locked="0"/>
    </xf>
    <xf numFmtId="0" fontId="8" fillId="0" borderId="0" xfId="24" applyFont="1" applyAlignment="1" applyProtection="1">
      <alignment wrapText="1"/>
      <protection locked="0"/>
    </xf>
    <xf numFmtId="0" fontId="8" fillId="0" borderId="0" xfId="24" applyFont="1" applyFill="1" applyAlignment="1" applyProtection="1">
      <alignment wrapText="1"/>
      <protection locked="0"/>
    </xf>
    <xf numFmtId="0" fontId="7" fillId="0" borderId="0" xfId="24" applyFont="1" applyBorder="1" applyAlignment="1" applyProtection="1">
      <alignment horizontal="centerContinuous" vertical="center" wrapText="1"/>
      <protection locked="0"/>
    </xf>
    <xf numFmtId="0" fontId="7" fillId="0" borderId="0" xfId="24" applyFont="1" applyFill="1" applyBorder="1" applyAlignment="1" applyProtection="1">
      <alignment horizontal="centerContinuous" vertical="center" wrapText="1"/>
      <protection locked="0"/>
    </xf>
    <xf numFmtId="0" fontId="7" fillId="0" borderId="0" xfId="23" applyFont="1" applyFill="1" applyBorder="1" applyAlignment="1" applyProtection="1">
      <alignment vertical="top" wrapText="1"/>
      <protection locked="0"/>
    </xf>
    <xf numFmtId="0" fontId="7" fillId="0" borderId="0" xfId="24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0" xfId="22" applyFont="1" applyProtection="1">
      <alignment/>
      <protection locked="0"/>
    </xf>
    <xf numFmtId="0" fontId="7" fillId="0" borderId="0" xfId="21" applyFont="1" applyAlignment="1" applyProtection="1">
      <alignment horizontal="centerContinuous"/>
      <protection locked="0"/>
    </xf>
    <xf numFmtId="0" fontId="8" fillId="0" borderId="0" xfId="21" applyFont="1" applyProtection="1">
      <alignment/>
      <protection locked="0"/>
    </xf>
    <xf numFmtId="0" fontId="7" fillId="0" borderId="0" xfId="21" applyFont="1" applyAlignment="1" applyProtection="1">
      <alignment horizontal="center"/>
      <protection locked="0"/>
    </xf>
    <xf numFmtId="0" fontId="7" fillId="0" borderId="0" xfId="21" applyFont="1" applyBorder="1" applyAlignment="1" applyProtection="1">
      <alignment vertical="justify" wrapText="1"/>
      <protection locked="0"/>
    </xf>
    <xf numFmtId="0" fontId="8" fillId="0" borderId="0" xfId="21" applyFont="1" applyBorder="1" applyAlignment="1" applyProtection="1">
      <alignment vertical="justify" wrapText="1"/>
      <protection locked="0"/>
    </xf>
    <xf numFmtId="0" fontId="7" fillId="0" borderId="0" xfId="21" applyFont="1" applyAlignment="1" applyProtection="1">
      <alignment horizontal="left" vertical="center" wrapText="1"/>
      <protection locked="0"/>
    </xf>
    <xf numFmtId="1" fontId="8" fillId="0" borderId="0" xfId="21" applyNumberFormat="1" applyFont="1" applyFill="1" applyAlignment="1" applyProtection="1">
      <alignment vertical="center" wrapText="1"/>
      <protection locked="0"/>
    </xf>
    <xf numFmtId="1" fontId="8" fillId="0" borderId="0" xfId="21" applyNumberFormat="1" applyFont="1" applyFill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wrapText="1"/>
    </xf>
    <xf numFmtId="0" fontId="6" fillId="0" borderId="0" xfId="23" applyFont="1" applyBorder="1" applyAlignment="1" applyProtection="1">
      <alignment vertical="top" wrapText="1"/>
      <protection locked="0"/>
    </xf>
    <xf numFmtId="0" fontId="1" fillId="0" borderId="0" xfId="24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23" applyFont="1" applyFill="1" applyAlignment="1" applyProtection="1">
      <alignment horizontal="left" vertical="justify"/>
      <protection locked="0"/>
    </xf>
    <xf numFmtId="0" fontId="7" fillId="0" borderId="0" xfId="21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8" fillId="3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4" fontId="1" fillId="0" borderId="1" xfId="23" applyNumberFormat="1" applyFont="1" applyBorder="1" applyAlignment="1" applyProtection="1">
      <alignment horizontal="center" vertical="center" wrapText="1"/>
      <protection/>
    </xf>
    <xf numFmtId="0" fontId="8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inden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15" fillId="0" borderId="0" xfId="0" applyFont="1" applyAlignment="1">
      <alignment/>
    </xf>
    <xf numFmtId="0" fontId="5" fillId="0" borderId="0" xfId="0" applyFont="1" applyBorder="1" applyAlignment="1">
      <alignment horizontal="left" vertical="top"/>
    </xf>
    <xf numFmtId="0" fontId="14" fillId="0" borderId="0" xfId="0" applyFont="1" applyAlignment="1">
      <alignment/>
    </xf>
    <xf numFmtId="0" fontId="5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7" fillId="0" borderId="0" xfId="25" applyFont="1" applyBorder="1" applyAlignment="1" applyProtection="1">
      <alignment horizontal="center" vertical="center" wrapText="1"/>
      <protection/>
    </xf>
    <xf numFmtId="0" fontId="5" fillId="0" borderId="0" xfId="23" applyFont="1" applyAlignment="1" applyProtection="1">
      <alignment vertical="top"/>
      <protection locked="0"/>
    </xf>
    <xf numFmtId="0" fontId="3" fillId="0" borderId="0" xfId="23" applyFont="1" applyAlignment="1" applyProtection="1">
      <alignment vertical="top" wrapText="1"/>
      <protection locked="0"/>
    </xf>
    <xf numFmtId="0" fontId="8" fillId="0" borderId="0" xfId="25" applyFont="1" applyProtection="1">
      <alignment/>
      <protection locked="0"/>
    </xf>
    <xf numFmtId="0" fontId="7" fillId="0" borderId="0" xfId="25" applyFont="1" applyAlignment="1" applyProtection="1">
      <alignment horizontal="center"/>
      <protection locked="0"/>
    </xf>
    <xf numFmtId="0" fontId="6" fillId="0" borderId="1" xfId="25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23" applyFont="1" applyFill="1" applyAlignment="1" applyProtection="1">
      <alignment vertical="top"/>
      <protection locked="0"/>
    </xf>
    <xf numFmtId="0" fontId="3" fillId="0" borderId="0" xfId="23" applyFont="1" applyFill="1" applyAlignment="1" applyProtection="1">
      <alignment vertical="top" wrapText="1"/>
      <protection locked="0"/>
    </xf>
    <xf numFmtId="0" fontId="6" fillId="0" borderId="0" xfId="0" applyFont="1" applyAlignment="1">
      <alignment horizontal="left" vertical="center" wrapText="1"/>
    </xf>
    <xf numFmtId="0" fontId="5" fillId="0" borderId="0" xfId="23" applyFont="1" applyFill="1" applyAlignment="1" applyProtection="1">
      <alignment vertical="top"/>
      <protection locked="0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3" fillId="0" borderId="0" xfId="23" applyFont="1" applyFill="1" applyAlignment="1" applyProtection="1">
      <alignment horizontal="left" vertical="justify" wrapText="1"/>
      <protection locked="0"/>
    </xf>
    <xf numFmtId="0" fontId="6" fillId="0" borderId="1" xfId="26" applyFont="1" applyFill="1" applyBorder="1" applyAlignment="1">
      <alignment horizontal="center" vertical="center" wrapText="1"/>
      <protection/>
    </xf>
    <xf numFmtId="0" fontId="6" fillId="0" borderId="1" xfId="26" applyFont="1" applyFill="1" applyBorder="1" applyAlignment="1">
      <alignment horizontal="center" vertical="justify" wrapText="1"/>
      <protection/>
    </xf>
    <xf numFmtId="0" fontId="6" fillId="0" borderId="1" xfId="26" applyFont="1" applyFill="1" applyBorder="1" applyAlignment="1">
      <alignment horizontal="left" vertical="justify" wrapText="1"/>
      <protection/>
    </xf>
    <xf numFmtId="3" fontId="5" fillId="0" borderId="1" xfId="26" applyNumberFormat="1" applyFont="1" applyFill="1" applyBorder="1" applyAlignment="1" applyProtection="1">
      <alignment horizontal="left" vertical="justify"/>
      <protection/>
    </xf>
    <xf numFmtId="1" fontId="5" fillId="0" borderId="1" xfId="26" applyNumberFormat="1" applyFont="1" applyFill="1" applyBorder="1" applyAlignment="1" applyProtection="1">
      <alignment horizontal="left" vertical="justify"/>
      <protection locked="0"/>
    </xf>
    <xf numFmtId="1" fontId="5" fillId="0" borderId="1" xfId="26" applyNumberFormat="1" applyFont="1" applyFill="1" applyBorder="1" applyAlignment="1" applyProtection="1">
      <alignment horizontal="left" vertical="justify"/>
      <protection/>
    </xf>
    <xf numFmtId="0" fontId="5" fillId="0" borderId="1" xfId="26" applyFont="1" applyFill="1" applyBorder="1" applyAlignment="1">
      <alignment horizontal="left" vertical="justify" wrapText="1"/>
      <protection/>
    </xf>
    <xf numFmtId="0" fontId="6" fillId="3" borderId="1" xfId="26" applyFont="1" applyFill="1" applyBorder="1" applyAlignment="1">
      <alignment horizontal="left" vertical="justify" wrapText="1"/>
      <protection/>
    </xf>
    <xf numFmtId="0" fontId="6" fillId="0" borderId="0" xfId="24" applyFont="1" applyFill="1" applyAlignment="1">
      <alignment horizontal="center" vertical="justify" wrapText="1"/>
      <protection/>
    </xf>
    <xf numFmtId="0" fontId="6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/>
    </xf>
    <xf numFmtId="0" fontId="14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justify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22" applyFont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22" applyFont="1">
      <alignment/>
      <protection/>
    </xf>
    <xf numFmtId="0" fontId="8" fillId="0" borderId="0" xfId="22" applyFont="1" applyFill="1">
      <alignment/>
      <protection/>
    </xf>
    <xf numFmtId="0" fontId="8" fillId="0" borderId="0" xfId="22" applyFont="1" applyFill="1" applyProtection="1">
      <alignment/>
      <protection/>
    </xf>
    <xf numFmtId="0" fontId="8" fillId="0" borderId="0" xfId="22" applyFont="1" applyFill="1" applyAlignment="1" applyProtection="1">
      <alignment horizontal="left" wrapText="1"/>
      <protection/>
    </xf>
    <xf numFmtId="0" fontId="8" fillId="0" borderId="0" xfId="22" applyFont="1" applyFill="1" applyAlignment="1">
      <alignment horizontal="left" wrapText="1"/>
      <protection/>
    </xf>
    <xf numFmtId="0" fontId="8" fillId="0" borderId="0" xfId="22" applyFont="1" applyAlignment="1">
      <alignment horizontal="left" wrapText="1"/>
      <protection/>
    </xf>
    <xf numFmtId="0" fontId="8" fillId="0" borderId="0" xfId="22" applyFont="1" applyFill="1" applyAlignment="1" applyProtection="1">
      <alignment/>
      <protection locked="0"/>
    </xf>
    <xf numFmtId="0" fontId="8" fillId="0" borderId="0" xfId="22" applyFont="1" applyFill="1" applyProtection="1">
      <alignment/>
      <protection locked="0"/>
    </xf>
    <xf numFmtId="0" fontId="7" fillId="0" borderId="0" xfId="22" applyFont="1" applyProtection="1">
      <alignment/>
      <protection locked="0"/>
    </xf>
    <xf numFmtId="0" fontId="8" fillId="0" borderId="0" xfId="22" applyFont="1" applyFill="1" applyAlignment="1">
      <alignment/>
      <protection/>
    </xf>
    <xf numFmtId="0" fontId="8" fillId="0" borderId="0" xfId="22" applyFont="1" applyAlignment="1">
      <alignment/>
      <protection/>
    </xf>
    <xf numFmtId="0" fontId="6" fillId="0" borderId="1" xfId="21" applyFont="1" applyBorder="1" applyAlignment="1" applyProtection="1">
      <alignment horizontal="centerContinuous" vertical="center" wrapText="1"/>
      <protection/>
    </xf>
    <xf numFmtId="0" fontId="6" fillId="0" borderId="1" xfId="21" applyFont="1" applyBorder="1" applyAlignment="1" applyProtection="1">
      <alignment horizontal="center" vertical="center" wrapText="1"/>
      <protection/>
    </xf>
    <xf numFmtId="0" fontId="6" fillId="0" borderId="1" xfId="21" applyFont="1" applyBorder="1" applyAlignment="1" applyProtection="1">
      <alignment horizontal="centerContinuous"/>
      <protection/>
    </xf>
    <xf numFmtId="0" fontId="6" fillId="0" borderId="1" xfId="21" applyFont="1" applyBorder="1" applyAlignment="1" applyProtection="1">
      <alignment vertical="justify" wrapText="1"/>
      <protection/>
    </xf>
    <xf numFmtId="1" fontId="5" fillId="0" borderId="1" xfId="21" applyNumberFormat="1" applyFont="1" applyFill="1" applyBorder="1" applyAlignment="1" applyProtection="1">
      <alignment vertical="center" wrapText="1"/>
      <protection/>
    </xf>
    <xf numFmtId="1" fontId="5" fillId="0" borderId="1" xfId="21" applyNumberFormat="1" applyFont="1" applyFill="1" applyBorder="1" applyAlignment="1" applyProtection="1">
      <alignment horizontal="center" vertical="center" wrapText="1"/>
      <protection/>
    </xf>
    <xf numFmtId="1" fontId="5" fillId="0" borderId="1" xfId="21" applyNumberFormat="1" applyFont="1" applyFill="1" applyBorder="1" applyAlignment="1" applyProtection="1">
      <alignment horizontal="left" vertical="center" wrapText="1"/>
      <protection/>
    </xf>
    <xf numFmtId="0" fontId="5" fillId="0" borderId="1" xfId="21" applyFont="1" applyBorder="1" applyAlignment="1" applyProtection="1">
      <alignment vertical="justify"/>
      <protection/>
    </xf>
    <xf numFmtId="0" fontId="5" fillId="0" borderId="3" xfId="21" applyFont="1" applyFill="1" applyBorder="1" applyAlignment="1" applyProtection="1">
      <alignment horizontal="center" vertical="center" wrapText="1"/>
      <protection/>
    </xf>
    <xf numFmtId="0" fontId="5" fillId="3" borderId="1" xfId="21" applyFont="1" applyFill="1" applyBorder="1" applyAlignment="1" applyProtection="1">
      <alignment vertical="justify"/>
      <protection/>
    </xf>
    <xf numFmtId="0" fontId="5" fillId="0" borderId="1" xfId="21" applyFont="1" applyFill="1" applyBorder="1" applyAlignment="1" applyProtection="1">
      <alignment vertical="center" wrapText="1"/>
      <protection/>
    </xf>
    <xf numFmtId="0" fontId="5" fillId="0" borderId="1" xfId="21" applyFont="1" applyFill="1" applyBorder="1" applyAlignment="1" applyProtection="1">
      <alignment horizontal="center" vertical="center" wrapText="1"/>
      <protection/>
    </xf>
    <xf numFmtId="1" fontId="5" fillId="0" borderId="1" xfId="21" applyNumberFormat="1" applyFont="1" applyFill="1" applyBorder="1" applyAlignment="1" applyProtection="1">
      <alignment vertical="center" wrapText="1"/>
      <protection locked="0"/>
    </xf>
    <xf numFmtId="1" fontId="5" fillId="0" borderId="1" xfId="21" applyNumberFormat="1" applyFont="1" applyFill="1" applyBorder="1" applyAlignment="1" applyProtection="1">
      <alignment horizontal="left" vertical="center" wrapText="1"/>
      <protection locked="0"/>
    </xf>
    <xf numFmtId="0" fontId="5" fillId="3" borderId="1" xfId="21" applyFont="1" applyFill="1" applyBorder="1" applyAlignment="1" applyProtection="1">
      <alignment vertical="center" wrapText="1"/>
      <protection/>
    </xf>
    <xf numFmtId="0" fontId="6" fillId="0" borderId="1" xfId="21" applyFont="1" applyBorder="1" applyAlignment="1" applyProtection="1">
      <alignment horizontal="right"/>
      <protection/>
    </xf>
    <xf numFmtId="0" fontId="6" fillId="0" borderId="1" xfId="21" applyFont="1" applyBorder="1" applyAlignment="1" applyProtection="1">
      <alignment horizontal="left" wrapText="1"/>
      <protection/>
    </xf>
    <xf numFmtId="0" fontId="5" fillId="0" borderId="1" xfId="21" applyFont="1" applyFill="1" applyBorder="1" applyAlignment="1" applyProtection="1">
      <alignment horizontal="left" vertical="center" wrapText="1"/>
      <protection/>
    </xf>
    <xf numFmtId="0" fontId="5" fillId="0" borderId="1" xfId="21" applyFont="1" applyBorder="1" applyAlignment="1" applyProtection="1">
      <alignment horizontal="left" wrapText="1"/>
      <protection/>
    </xf>
    <xf numFmtId="0" fontId="6" fillId="3" borderId="1" xfId="21" applyFont="1" applyFill="1" applyBorder="1" applyAlignment="1" applyProtection="1">
      <alignment horizontal="right"/>
      <protection/>
    </xf>
    <xf numFmtId="0" fontId="5" fillId="0" borderId="0" xfId="22" applyFont="1" applyFill="1" applyAlignment="1" applyProtection="1">
      <alignment/>
      <protection locked="0"/>
    </xf>
    <xf numFmtId="0" fontId="5" fillId="0" borderId="0" xfId="22" applyFont="1" applyFill="1" applyProtection="1">
      <alignment/>
      <protection locked="0"/>
    </xf>
    <xf numFmtId="0" fontId="5" fillId="0" borderId="0" xfId="21" applyFont="1" applyFill="1" applyProtection="1">
      <alignment/>
      <protection locked="0"/>
    </xf>
    <xf numFmtId="0" fontId="6" fillId="0" borderId="0" xfId="21" applyFont="1" applyFill="1" applyAlignment="1" applyProtection="1">
      <alignment horizontal="centerContinuous"/>
      <protection locked="0"/>
    </xf>
    <xf numFmtId="0" fontId="5" fillId="0" borderId="0" xfId="22" applyFont="1" applyFill="1">
      <alignment/>
      <protection/>
    </xf>
    <xf numFmtId="0" fontId="5" fillId="0" borderId="0" xfId="22" applyFont="1">
      <alignment/>
      <protection/>
    </xf>
    <xf numFmtId="0" fontId="6" fillId="0" borderId="0" xfId="21" applyFont="1" applyAlignment="1" applyProtection="1">
      <alignment horizontal="center" vertical="center" wrapText="1"/>
      <protection locked="0"/>
    </xf>
    <xf numFmtId="0" fontId="3" fillId="0" borderId="0" xfId="23" applyFont="1" applyFill="1" applyAlignment="1" applyProtection="1">
      <alignment horizontal="right" vertical="top"/>
      <protection locked="0"/>
    </xf>
    <xf numFmtId="0" fontId="5" fillId="0" borderId="0" xfId="23" applyFont="1" applyFill="1" applyAlignment="1" applyProtection="1">
      <alignment horizontal="left" vertical="top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1" fillId="0" borderId="0" xfId="21" applyFont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23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23" applyFont="1" applyAlignment="1" applyProtection="1">
      <alignment horizontal="right" vertical="top"/>
      <protection locked="0"/>
    </xf>
    <xf numFmtId="172" fontId="5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 wrapText="1"/>
    </xf>
    <xf numFmtId="1" fontId="8" fillId="0" borderId="1" xfId="0" applyNumberFormat="1" applyFont="1" applyBorder="1" applyAlignment="1">
      <alignment wrapText="1"/>
    </xf>
    <xf numFmtId="172" fontId="5" fillId="0" borderId="1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center" wrapText="1" indent="1"/>
    </xf>
    <xf numFmtId="3" fontId="8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3" fontId="5" fillId="0" borderId="3" xfId="21" applyNumberFormat="1" applyFont="1" applyFill="1" applyBorder="1" applyAlignment="1" applyProtection="1">
      <alignment vertical="center" wrapText="1"/>
      <protection/>
    </xf>
    <xf numFmtId="3" fontId="5" fillId="0" borderId="3" xfId="21" applyNumberFormat="1" applyFont="1" applyFill="1" applyBorder="1" applyAlignment="1" applyProtection="1">
      <alignment horizontal="center" vertical="center" wrapText="1"/>
      <protection/>
    </xf>
    <xf numFmtId="3" fontId="11" fillId="0" borderId="1" xfId="21" applyNumberFormat="1" applyFont="1" applyFill="1" applyBorder="1" applyAlignment="1" applyProtection="1">
      <alignment vertical="center" wrapText="1"/>
      <protection/>
    </xf>
    <xf numFmtId="172" fontId="6" fillId="0" borderId="1" xfId="0" applyNumberFormat="1" applyFont="1" applyBorder="1" applyAlignment="1">
      <alignment horizontal="right" vertical="center" wrapText="1"/>
    </xf>
    <xf numFmtId="0" fontId="5" fillId="0" borderId="1" xfId="26" applyFont="1" applyFill="1" applyBorder="1" applyAlignment="1">
      <alignment horizontal="left" vertical="center" wrapText="1"/>
      <protection/>
    </xf>
    <xf numFmtId="172" fontId="6" fillId="0" borderId="1" xfId="0" applyNumberFormat="1" applyFont="1" applyBorder="1" applyAlignment="1">
      <alignment/>
    </xf>
    <xf numFmtId="0" fontId="20" fillId="0" borderId="4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justify" wrapText="1"/>
    </xf>
    <xf numFmtId="0" fontId="20" fillId="0" borderId="5" xfId="0" applyFont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21" fillId="0" borderId="6" xfId="0" applyFont="1" applyFill="1" applyBorder="1" applyAlignment="1">
      <alignment horizontal="left" vertical="top" wrapText="1"/>
    </xf>
    <xf numFmtId="172" fontId="0" fillId="0" borderId="3" xfId="0" applyNumberFormat="1" applyFont="1" applyBorder="1" applyAlignment="1">
      <alignment horizontal="right" vertical="center" wrapText="1"/>
    </xf>
    <xf numFmtId="0" fontId="20" fillId="0" borderId="6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7" xfId="0" applyFont="1" applyBorder="1" applyAlignment="1">
      <alignment/>
    </xf>
    <xf numFmtId="0" fontId="20" fillId="0" borderId="6" xfId="0" applyFont="1" applyFill="1" applyBorder="1" applyAlignment="1">
      <alignment horizontal="left" vertical="top" wrapText="1"/>
    </xf>
    <xf numFmtId="0" fontId="20" fillId="0" borderId="5" xfId="0" applyFont="1" applyBorder="1" applyAlignment="1">
      <alignment/>
    </xf>
    <xf numFmtId="0" fontId="22" fillId="0" borderId="2" xfId="0" applyFont="1" applyFill="1" applyBorder="1" applyAlignment="1">
      <alignment horizontal="left" vertical="top" wrapText="1"/>
    </xf>
    <xf numFmtId="172" fontId="23" fillId="0" borderId="3" xfId="0" applyNumberFormat="1" applyFont="1" applyBorder="1" applyAlignment="1">
      <alignment horizontal="right" vertical="center" wrapText="1"/>
    </xf>
    <xf numFmtId="0" fontId="20" fillId="0" borderId="8" xfId="0" applyFont="1" applyBorder="1" applyAlignment="1">
      <alignment vertical="top" wrapText="1"/>
    </xf>
    <xf numFmtId="0" fontId="20" fillId="0" borderId="6" xfId="0" applyFont="1" applyBorder="1" applyAlignment="1">
      <alignment vertical="top" wrapText="1"/>
    </xf>
    <xf numFmtId="0" fontId="22" fillId="0" borderId="6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2" xfId="0" applyFont="1" applyBorder="1" applyAlignment="1">
      <alignment/>
    </xf>
    <xf numFmtId="0" fontId="20" fillId="0" borderId="0" xfId="0" applyFont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172" fontId="0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vertical="top" wrapText="1"/>
    </xf>
    <xf numFmtId="10" fontId="23" fillId="0" borderId="3" xfId="27" applyNumberFormat="1" applyFont="1" applyBorder="1" applyAlignment="1">
      <alignment horizontal="right" vertical="center" wrapText="1"/>
    </xf>
    <xf numFmtId="172" fontId="0" fillId="0" borderId="1" xfId="0" applyNumberFormat="1" applyFont="1" applyBorder="1" applyAlignment="1">
      <alignment horizontal="right" vertical="center" wrapText="1"/>
    </xf>
    <xf numFmtId="172" fontId="0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top" wrapText="1"/>
    </xf>
    <xf numFmtId="3" fontId="11" fillId="0" borderId="0" xfId="21" applyNumberFormat="1" applyFont="1" applyFill="1" applyBorder="1" applyAlignment="1" applyProtection="1">
      <alignment vertical="center" wrapText="1"/>
      <protection/>
    </xf>
    <xf numFmtId="0" fontId="6" fillId="0" borderId="0" xfId="21" applyFont="1" applyFill="1" applyBorder="1" applyAlignment="1" applyProtection="1">
      <alignment horizontal="right"/>
      <protection/>
    </xf>
    <xf numFmtId="0" fontId="8" fillId="0" borderId="0" xfId="21" applyFont="1" applyFill="1" applyProtection="1">
      <alignment/>
      <protection locked="0"/>
    </xf>
    <xf numFmtId="0" fontId="6" fillId="3" borderId="0" xfId="26" applyFont="1" applyFill="1" applyBorder="1" applyAlignment="1">
      <alignment horizontal="left" vertical="justify" wrapText="1"/>
      <protection/>
    </xf>
    <xf numFmtId="172" fontId="5" fillId="0" borderId="0" xfId="0" applyNumberFormat="1" applyFont="1" applyBorder="1" applyAlignment="1">
      <alignment horizontal="right" vertical="center" wrapText="1"/>
    </xf>
    <xf numFmtId="172" fontId="6" fillId="0" borderId="0" xfId="0" applyNumberFormat="1" applyFont="1" applyBorder="1" applyAlignment="1">
      <alignment horizontal="right" vertical="center" wrapText="1"/>
    </xf>
    <xf numFmtId="179" fontId="5" fillId="0" borderId="0" xfId="0" applyNumberFormat="1" applyFont="1" applyAlignment="1">
      <alignment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172" fontId="6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justify" wrapText="1"/>
    </xf>
    <xf numFmtId="1" fontId="5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7" xfId="0" applyFont="1" applyBorder="1" applyAlignment="1">
      <alignment/>
    </xf>
    <xf numFmtId="0" fontId="8" fillId="0" borderId="1" xfId="21" applyFont="1" applyBorder="1" applyAlignment="1" applyProtection="1">
      <alignment horizontal="left" wrapText="1"/>
      <protection/>
    </xf>
    <xf numFmtId="0" fontId="8" fillId="0" borderId="1" xfId="26" applyFont="1" applyFill="1" applyBorder="1" applyAlignment="1">
      <alignment horizontal="left" vertical="justify" wrapText="1"/>
      <protection/>
    </xf>
    <xf numFmtId="0" fontId="8" fillId="0" borderId="1" xfId="0" applyFont="1" applyBorder="1" applyAlignment="1">
      <alignment horizontal="left" vertical="center" wrapText="1"/>
    </xf>
    <xf numFmtId="172" fontId="5" fillId="0" borderId="1" xfId="0" applyNumberFormat="1" applyFont="1" applyFill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wrapText="1"/>
    </xf>
    <xf numFmtId="1" fontId="7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right" vertical="center" wrapText="1"/>
    </xf>
    <xf numFmtId="10" fontId="20" fillId="0" borderId="2" xfId="0" applyNumberFormat="1" applyFont="1" applyBorder="1" applyAlignment="1">
      <alignment horizontal="center" vertical="top" wrapText="1"/>
    </xf>
    <xf numFmtId="172" fontId="0" fillId="0" borderId="9" xfId="0" applyNumberFormat="1" applyFont="1" applyBorder="1" applyAlignment="1">
      <alignment horizontal="right" vertical="center" wrapText="1"/>
    </xf>
    <xf numFmtId="0" fontId="10" fillId="0" borderId="9" xfId="0" applyFont="1" applyBorder="1" applyAlignment="1">
      <alignment/>
    </xf>
    <xf numFmtId="172" fontId="6" fillId="0" borderId="1" xfId="0" applyNumberFormat="1" applyFont="1" applyBorder="1" applyAlignment="1">
      <alignment wrapText="1"/>
    </xf>
    <xf numFmtId="0" fontId="28" fillId="0" borderId="0" xfId="22" applyFont="1" applyFill="1" applyAlignment="1" applyProtection="1">
      <alignment horizontal="left" wrapText="1"/>
      <protection/>
    </xf>
    <xf numFmtId="0" fontId="28" fillId="0" borderId="0" xfId="22" applyFont="1" applyFill="1" applyAlignment="1">
      <alignment horizontal="left" wrapText="1"/>
      <protection/>
    </xf>
    <xf numFmtId="0" fontId="28" fillId="0" borderId="0" xfId="22" applyFont="1" applyAlignment="1">
      <alignment horizontal="left" wrapText="1"/>
      <protection/>
    </xf>
    <xf numFmtId="3" fontId="6" fillId="0" borderId="3" xfId="21" applyNumberFormat="1" applyFont="1" applyFill="1" applyBorder="1" applyAlignment="1" applyProtection="1">
      <alignment vertical="center" wrapText="1"/>
      <protection/>
    </xf>
    <xf numFmtId="49" fontId="2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1" fontId="5" fillId="0" borderId="3" xfId="21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Alignment="1">
      <alignment/>
    </xf>
    <xf numFmtId="0" fontId="9" fillId="0" borderId="0" xfId="0" applyFont="1" applyFill="1" applyAlignment="1">
      <alignment horizontal="center"/>
    </xf>
    <xf numFmtId="172" fontId="5" fillId="0" borderId="1" xfId="26" applyNumberFormat="1" applyFont="1" applyFill="1" applyBorder="1" applyAlignment="1" applyProtection="1">
      <alignment horizontal="left" vertical="justify"/>
      <protection locked="0"/>
    </xf>
    <xf numFmtId="172" fontId="5" fillId="0" borderId="1" xfId="26" applyNumberFormat="1" applyFont="1" applyFill="1" applyBorder="1" applyAlignment="1" applyProtection="1">
      <alignment horizontal="right" vertical="justify"/>
      <protection locked="0"/>
    </xf>
    <xf numFmtId="172" fontId="5" fillId="0" borderId="1" xfId="26" applyNumberFormat="1" applyFont="1" applyFill="1" applyBorder="1" applyAlignment="1" applyProtection="1">
      <alignment horizontal="left" vertical="justify"/>
      <protection/>
    </xf>
    <xf numFmtId="172" fontId="5" fillId="0" borderId="1" xfId="26" applyNumberFormat="1" applyFont="1" applyFill="1" applyBorder="1" applyAlignment="1" applyProtection="1">
      <alignment horizontal="right" vertical="justify"/>
      <protection/>
    </xf>
    <xf numFmtId="172" fontId="5" fillId="0" borderId="1" xfId="0" applyNumberFormat="1" applyFont="1" applyBorder="1" applyAlignment="1">
      <alignment horizontal="center" vertical="center" wrapText="1"/>
    </xf>
    <xf numFmtId="179" fontId="5" fillId="0" borderId="1" xfId="0" applyNumberFormat="1" applyFont="1" applyBorder="1" applyAlignment="1">
      <alignment/>
    </xf>
    <xf numFmtId="172" fontId="5" fillId="0" borderId="1" xfId="0" applyNumberFormat="1" applyFont="1" applyFill="1" applyBorder="1" applyAlignment="1">
      <alignment wrapText="1"/>
    </xf>
    <xf numFmtId="2" fontId="0" fillId="0" borderId="1" xfId="0" applyNumberFormat="1" applyBorder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20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1" fontId="0" fillId="0" borderId="1" xfId="0" applyNumberFormat="1" applyFill="1" applyBorder="1" applyAlignment="1">
      <alignment/>
    </xf>
    <xf numFmtId="0" fontId="0" fillId="0" borderId="1" xfId="0" applyFont="1" applyFill="1" applyBorder="1" applyAlignment="1">
      <alignment/>
    </xf>
    <xf numFmtId="2" fontId="0" fillId="0" borderId="1" xfId="0" applyNumberFormat="1" applyFill="1" applyBorder="1" applyAlignment="1">
      <alignment/>
    </xf>
    <xf numFmtId="192" fontId="5" fillId="0" borderId="1" xfId="27" applyNumberFormat="1" applyFont="1" applyFill="1" applyBorder="1" applyAlignment="1">
      <alignment/>
    </xf>
    <xf numFmtId="1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20" fillId="0" borderId="1" xfId="0" applyFont="1" applyFill="1" applyBorder="1" applyAlignment="1">
      <alignment/>
    </xf>
    <xf numFmtId="0" fontId="26" fillId="0" borderId="1" xfId="0" applyFont="1" applyFill="1" applyBorder="1" applyAlignment="1">
      <alignment/>
    </xf>
    <xf numFmtId="0" fontId="27" fillId="0" borderId="1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" xfId="0" applyFont="1" applyFill="1" applyBorder="1" applyAlignment="1">
      <alignment/>
    </xf>
    <xf numFmtId="172" fontId="23" fillId="0" borderId="1" xfId="0" applyNumberFormat="1" applyFont="1" applyFill="1" applyBorder="1" applyAlignment="1">
      <alignment horizontal="right" vertical="center" wrapText="1"/>
    </xf>
    <xf numFmtId="1" fontId="23" fillId="0" borderId="1" xfId="0" applyNumberFormat="1" applyFont="1" applyFill="1" applyBorder="1" applyAlignment="1">
      <alignment horizontal="right" vertical="center" wrapText="1"/>
    </xf>
    <xf numFmtId="172" fontId="23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" xfId="0" applyFont="1" applyFill="1" applyBorder="1" applyAlignment="1">
      <alignment horizontal="right" vertical="top" wrapText="1"/>
    </xf>
    <xf numFmtId="172" fontId="6" fillId="0" borderId="1" xfId="0" applyNumberFormat="1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172" fontId="11" fillId="0" borderId="1" xfId="0" applyNumberFormat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left" vertical="top" wrapText="1"/>
    </xf>
    <xf numFmtId="1" fontId="11" fillId="0" borderId="1" xfId="0" applyNumberFormat="1" applyFont="1" applyFill="1" applyBorder="1" applyAlignment="1">
      <alignment horizontal="right" vertical="top" wrapText="1"/>
    </xf>
    <xf numFmtId="0" fontId="17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/>
    </xf>
    <xf numFmtId="172" fontId="5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wrapText="1"/>
    </xf>
    <xf numFmtId="0" fontId="19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49" fontId="0" fillId="0" borderId="1" xfId="0" applyNumberFormat="1" applyBorder="1" applyAlignment="1">
      <alignment/>
    </xf>
    <xf numFmtId="174" fontId="0" fillId="0" borderId="1" xfId="0" applyNumberFormat="1" applyBorder="1" applyAlignment="1">
      <alignment/>
    </xf>
    <xf numFmtId="10" fontId="20" fillId="0" borderId="10" xfId="0" applyNumberFormat="1" applyFont="1" applyBorder="1" applyAlignment="1">
      <alignment horizontal="center" vertical="top" wrapText="1"/>
    </xf>
    <xf numFmtId="10" fontId="30" fillId="0" borderId="2" xfId="0" applyNumberFormat="1" applyFont="1" applyBorder="1" applyAlignment="1">
      <alignment horizontal="center" vertical="top" wrapText="1"/>
    </xf>
    <xf numFmtId="0" fontId="22" fillId="0" borderId="2" xfId="0" applyFont="1" applyBorder="1" applyAlignment="1">
      <alignment horizontal="left" vertical="top" wrapText="1"/>
    </xf>
    <xf numFmtId="0" fontId="5" fillId="0" borderId="0" xfId="23" applyFont="1" applyFill="1" applyAlignment="1" applyProtection="1">
      <alignment horizontal="left" vertical="justify"/>
      <protection locked="0"/>
    </xf>
    <xf numFmtId="0" fontId="5" fillId="0" borderId="0" xfId="0" applyFont="1" applyAlignment="1">
      <alignment horizontal="left" vertical="justify"/>
    </xf>
    <xf numFmtId="0" fontId="6" fillId="0" borderId="0" xfId="23" applyFont="1" applyFill="1" applyBorder="1" applyAlignment="1" applyProtection="1">
      <alignment horizontal="left" vertical="justify" wrapText="1"/>
      <protection locked="0"/>
    </xf>
    <xf numFmtId="0" fontId="6" fillId="0" borderId="11" xfId="21" applyFont="1" applyBorder="1" applyAlignment="1" applyProtection="1">
      <alignment horizontal="center" vertical="center" wrapText="1"/>
      <protection/>
    </xf>
    <xf numFmtId="0" fontId="6" fillId="0" borderId="3" xfId="21" applyFont="1" applyBorder="1" applyAlignment="1" applyProtection="1">
      <alignment horizontal="center" vertical="center" wrapText="1"/>
      <protection/>
    </xf>
    <xf numFmtId="0" fontId="14" fillId="0" borderId="0" xfId="22" applyFont="1" applyAlignment="1">
      <alignment/>
      <protection/>
    </xf>
    <xf numFmtId="0" fontId="3" fillId="0" borderId="0" xfId="0" applyFont="1" applyAlignment="1">
      <alignment horizontal="center" vertical="center"/>
    </xf>
    <xf numFmtId="0" fontId="6" fillId="0" borderId="11" xfId="26" applyFont="1" applyFill="1" applyBorder="1" applyAlignment="1">
      <alignment horizontal="center" vertical="center" wrapText="1"/>
      <protection/>
    </xf>
    <xf numFmtId="0" fontId="6" fillId="0" borderId="12" xfId="26" applyFont="1" applyFill="1" applyBorder="1" applyAlignment="1">
      <alignment horizontal="center" vertical="center" wrapText="1"/>
      <protection/>
    </xf>
    <xf numFmtId="0" fontId="5" fillId="0" borderId="3" xfId="0" applyFont="1" applyBorder="1" applyAlignment="1">
      <alignment horizontal="center" vertical="center" wrapText="1"/>
    </xf>
    <xf numFmtId="0" fontId="8" fillId="0" borderId="0" xfId="26" applyFont="1" applyFill="1" applyBorder="1" applyAlignment="1" applyProtection="1">
      <alignment horizontal="left" vertical="justify"/>
      <protection locked="0"/>
    </xf>
    <xf numFmtId="0" fontId="6" fillId="0" borderId="3" xfId="26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6" fillId="0" borderId="13" xfId="26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26" applyFont="1" applyFill="1" applyAlignment="1">
      <alignment horizontal="center" vertical="justify" wrapText="1"/>
      <protection/>
    </xf>
    <xf numFmtId="0" fontId="6" fillId="0" borderId="8" xfId="26" applyFont="1" applyFill="1" applyBorder="1" applyAlignment="1">
      <alignment horizontal="center" vertical="center" wrapText="1"/>
      <protection/>
    </xf>
    <xf numFmtId="0" fontId="6" fillId="0" borderId="10" xfId="26" applyFont="1" applyFill="1" applyBorder="1" applyAlignment="1">
      <alignment horizontal="center" vertical="center" wrapText="1"/>
      <protection/>
    </xf>
    <xf numFmtId="0" fontId="6" fillId="0" borderId="11" xfId="26" applyFont="1" applyFill="1" applyBorder="1" applyAlignment="1">
      <alignment horizontal="center" vertical="justify" wrapText="1"/>
      <protection/>
    </xf>
    <xf numFmtId="0" fontId="6" fillId="0" borderId="3" xfId="26" applyFont="1" applyFill="1" applyBorder="1" applyAlignment="1">
      <alignment horizontal="center" vertical="justify" wrapText="1"/>
      <protection/>
    </xf>
    <xf numFmtId="0" fontId="14" fillId="0" borderId="0" xfId="0" applyFont="1" applyAlignment="1">
      <alignment vertical="center" wrapText="1"/>
    </xf>
    <xf numFmtId="0" fontId="5" fillId="0" borderId="0" xfId="23" applyFont="1" applyAlignment="1" applyProtection="1">
      <alignment horizontal="left" vertical="center" wrapText="1"/>
      <protection locked="0"/>
    </xf>
    <xf numFmtId="0" fontId="1" fillId="0" borderId="0" xfId="23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23" applyFont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24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0" xfId="23" applyFont="1" applyAlignment="1" applyProtection="1">
      <alignment vertical="top"/>
      <protection locked="0"/>
    </xf>
    <xf numFmtId="0" fontId="1" fillId="0" borderId="0" xfId="21" applyFont="1" applyAlignment="1" applyProtection="1">
      <alignment horizontal="center" vertical="center" wrapText="1"/>
      <protection locked="0"/>
    </xf>
    <xf numFmtId="0" fontId="14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0" fontId="16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justify" vertical="top" wrapText="1"/>
    </xf>
    <xf numFmtId="0" fontId="5" fillId="0" borderId="0" xfId="0" applyFont="1" applyAlignment="1">
      <alignment wrapText="1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4" fontId="20" fillId="0" borderId="0" xfId="0" applyNumberFormat="1" applyFont="1" applyBorder="1" applyAlignment="1">
      <alignment horizontal="left" vertical="top" wrapText="1"/>
    </xf>
    <xf numFmtId="0" fontId="5" fillId="0" borderId="0" xfId="23" applyFont="1" applyFill="1" applyAlignment="1" applyProtection="1">
      <alignment horizontal="center" vertical="top"/>
      <protection locked="0"/>
    </xf>
    <xf numFmtId="0" fontId="6" fillId="0" borderId="0" xfId="0" applyFont="1" applyAlignment="1">
      <alignment horizontal="left" wrapText="1"/>
    </xf>
    <xf numFmtId="0" fontId="20" fillId="0" borderId="0" xfId="0" applyFont="1" applyBorder="1" applyAlignment="1">
      <alignment horizontal="left" vertical="top"/>
    </xf>
    <xf numFmtId="0" fontId="20" fillId="0" borderId="14" xfId="0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" xfId="0" applyBorder="1" applyAlignment="1">
      <alignment/>
    </xf>
    <xf numFmtId="0" fontId="20" fillId="0" borderId="15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5" fillId="0" borderId="0" xfId="23" applyFont="1" applyFill="1" applyAlignment="1" applyProtection="1">
      <alignment horizontal="left" vertical="top"/>
      <protection locked="0"/>
    </xf>
    <xf numFmtId="0" fontId="20" fillId="0" borderId="4" xfId="0" applyFont="1" applyFill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left" vertical="top" wrapText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1"/>
  <sheetViews>
    <sheetView workbookViewId="0" topLeftCell="A31">
      <selection activeCell="D15" sqref="D15"/>
    </sheetView>
  </sheetViews>
  <sheetFormatPr defaultColWidth="9.140625" defaultRowHeight="12.75"/>
  <cols>
    <col min="1" max="1" width="35.57421875" style="8" customWidth="1"/>
    <col min="2" max="2" width="12.57421875" style="8" customWidth="1"/>
    <col min="3" max="3" width="12.8515625" style="8" customWidth="1"/>
    <col min="4" max="4" width="32.00390625" style="8" customWidth="1"/>
    <col min="5" max="5" width="14.140625" style="8" customWidth="1"/>
    <col min="6" max="6" width="14.8515625" style="8" customWidth="1"/>
    <col min="7" max="16384" width="9.140625" style="8" customWidth="1"/>
  </cols>
  <sheetData>
    <row r="1" spans="5:6" ht="12.75">
      <c r="E1" s="374" t="s">
        <v>345</v>
      </c>
      <c r="F1" s="374"/>
    </row>
    <row r="3" spans="1:6" ht="15">
      <c r="A3" s="2"/>
      <c r="B3" s="3"/>
      <c r="C3" s="376" t="s">
        <v>0</v>
      </c>
      <c r="D3" s="376"/>
      <c r="E3" s="4"/>
      <c r="F3" s="4"/>
    </row>
    <row r="4" spans="1:6" ht="15">
      <c r="A4" s="5"/>
      <c r="B4" s="3"/>
      <c r="C4" s="3"/>
      <c r="D4" s="3"/>
      <c r="E4" s="4"/>
      <c r="F4" s="4"/>
    </row>
    <row r="5" spans="1:6" ht="15" customHeight="1">
      <c r="A5" s="197" t="s">
        <v>247</v>
      </c>
      <c r="B5" s="378" t="s">
        <v>372</v>
      </c>
      <c r="C5" s="378"/>
      <c r="D5" s="2"/>
      <c r="E5" s="375" t="s">
        <v>404</v>
      </c>
      <c r="F5" s="375"/>
    </row>
    <row r="6" spans="1:6" ht="15">
      <c r="A6" s="197" t="s">
        <v>1</v>
      </c>
      <c r="B6" s="198" t="s">
        <v>434</v>
      </c>
      <c r="C6" s="6"/>
      <c r="D6" s="6"/>
      <c r="E6" s="4"/>
      <c r="F6" s="6"/>
    </row>
    <row r="7" spans="1:6" ht="15">
      <c r="A7" s="2"/>
      <c r="B7" s="2"/>
      <c r="C7" s="6"/>
      <c r="D7" s="6"/>
      <c r="E7" s="4"/>
      <c r="F7" s="6" t="s">
        <v>371</v>
      </c>
    </row>
    <row r="8" spans="1:6" ht="50.25" customHeight="1">
      <c r="A8" s="7" t="s">
        <v>2</v>
      </c>
      <c r="B8" s="95" t="s">
        <v>3</v>
      </c>
      <c r="C8" s="95" t="s">
        <v>4</v>
      </c>
      <c r="D8" s="1" t="s">
        <v>8</v>
      </c>
      <c r="E8" s="95" t="s">
        <v>5</v>
      </c>
      <c r="F8" s="95" t="s">
        <v>6</v>
      </c>
    </row>
    <row r="9" spans="1:6" ht="14.25">
      <c r="A9" s="7" t="s">
        <v>7</v>
      </c>
      <c r="B9" s="7">
        <v>1</v>
      </c>
      <c r="C9" s="7">
        <v>2</v>
      </c>
      <c r="D9" s="1" t="s">
        <v>7</v>
      </c>
      <c r="E9" s="7">
        <v>1</v>
      </c>
      <c r="F9" s="7">
        <v>2</v>
      </c>
    </row>
    <row r="10" spans="1:6" ht="12.75">
      <c r="A10" s="30" t="s">
        <v>9</v>
      </c>
      <c r="B10" s="200"/>
      <c r="C10" s="200"/>
      <c r="D10" s="12" t="s">
        <v>45</v>
      </c>
      <c r="E10" s="10"/>
      <c r="F10" s="10"/>
    </row>
    <row r="11" spans="1:30" ht="12.75">
      <c r="A11" s="31" t="s">
        <v>46</v>
      </c>
      <c r="B11" s="200"/>
      <c r="C11" s="200"/>
      <c r="D11" s="31" t="s">
        <v>47</v>
      </c>
      <c r="E11" s="200">
        <v>805951</v>
      </c>
      <c r="F11" s="200">
        <v>805951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2.75">
      <c r="A12" s="11" t="s">
        <v>48</v>
      </c>
      <c r="B12" s="200">
        <v>1714269.82</v>
      </c>
      <c r="C12" s="200">
        <v>1164924.28</v>
      </c>
      <c r="D12" s="31" t="s">
        <v>49</v>
      </c>
      <c r="E12" s="200"/>
      <c r="F12" s="200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29.25" customHeight="1">
      <c r="A13" s="11" t="s">
        <v>50</v>
      </c>
      <c r="B13" s="200"/>
      <c r="C13" s="200">
        <v>0</v>
      </c>
      <c r="D13" s="11" t="s">
        <v>51</v>
      </c>
      <c r="E13" s="200"/>
      <c r="F13" s="200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25.5">
      <c r="A14" s="11" t="s">
        <v>52</v>
      </c>
      <c r="B14" s="200"/>
      <c r="C14" s="200"/>
      <c r="D14" s="11" t="s">
        <v>53</v>
      </c>
      <c r="E14" s="200">
        <v>517363.18</v>
      </c>
      <c r="F14" s="200">
        <v>527093.67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2.75">
      <c r="A15" s="32" t="s">
        <v>54</v>
      </c>
      <c r="B15" s="271">
        <f>SUM(B12:B14)</f>
        <v>1714269.82</v>
      </c>
      <c r="C15" s="271">
        <f>SUM(C12:C14)</f>
        <v>1164924.28</v>
      </c>
      <c r="D15" s="11" t="s">
        <v>55</v>
      </c>
      <c r="E15" s="200">
        <f>SUM(E16:E18)</f>
        <v>1066825.03</v>
      </c>
      <c r="F15" s="200">
        <f>SUM(F16:F18)</f>
        <v>541676.17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2.75">
      <c r="A16" s="31" t="s">
        <v>56</v>
      </c>
      <c r="B16" s="200"/>
      <c r="C16" s="200"/>
      <c r="D16" s="11" t="s">
        <v>57</v>
      </c>
      <c r="E16" s="200">
        <v>872457.53</v>
      </c>
      <c r="F16" s="200">
        <v>321185.31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2.75">
      <c r="A17" s="11" t="s">
        <v>10</v>
      </c>
      <c r="B17" s="200">
        <f>7727.33+43480.11+3684.52-50506.02</f>
        <v>4385.940000000002</v>
      </c>
      <c r="C17" s="200">
        <v>6040.75</v>
      </c>
      <c r="D17" s="11" t="s">
        <v>58</v>
      </c>
      <c r="E17" s="200">
        <v>113772.4</v>
      </c>
      <c r="F17" s="200">
        <v>113772.45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2.75">
      <c r="A18" s="11" t="s">
        <v>11</v>
      </c>
      <c r="B18" s="200">
        <f>2593.73+69084.61-48950.06</f>
        <v>22728.28</v>
      </c>
      <c r="C18" s="200">
        <v>24671.36</v>
      </c>
      <c r="D18" s="11" t="s">
        <v>21</v>
      </c>
      <c r="E18" s="200">
        <v>80595.1</v>
      </c>
      <c r="F18" s="200">
        <v>106718.41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2.75">
      <c r="A19" s="32" t="s">
        <v>42</v>
      </c>
      <c r="B19" s="271">
        <f>SUM(B17:B18)</f>
        <v>27114.22</v>
      </c>
      <c r="C19" s="271">
        <f>SUM(C17:C18)</f>
        <v>30712.11</v>
      </c>
      <c r="D19" s="32" t="s">
        <v>42</v>
      </c>
      <c r="E19" s="271">
        <f>SUM(E13:E15)</f>
        <v>1584188.21</v>
      </c>
      <c r="F19" s="271">
        <f>SUM(F13,F14,F15)</f>
        <v>1068769.84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2.75">
      <c r="A20" s="73"/>
      <c r="B20" s="200"/>
      <c r="C20" s="200"/>
      <c r="D20" s="31" t="s">
        <v>59</v>
      </c>
      <c r="E20" s="200"/>
      <c r="F20" s="200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2.75">
      <c r="A21" s="11"/>
      <c r="B21" s="200"/>
      <c r="C21" s="200"/>
      <c r="D21" s="11" t="s">
        <v>60</v>
      </c>
      <c r="E21" s="200">
        <v>11304.53</v>
      </c>
      <c r="F21" s="200">
        <v>11304.53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2.75">
      <c r="A22" s="11"/>
      <c r="B22" s="200"/>
      <c r="C22" s="200"/>
      <c r="D22" s="11" t="s">
        <v>61</v>
      </c>
      <c r="E22" s="200">
        <v>11304.53</v>
      </c>
      <c r="F22" s="200">
        <v>11304.53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2.75">
      <c r="A23" s="11"/>
      <c r="B23" s="200"/>
      <c r="C23" s="200"/>
      <c r="D23" s="11" t="s">
        <v>62</v>
      </c>
      <c r="E23" s="200"/>
      <c r="F23" s="200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2.75">
      <c r="A24" s="11"/>
      <c r="B24" s="200"/>
      <c r="C24" s="200"/>
      <c r="D24" s="10" t="s">
        <v>63</v>
      </c>
      <c r="E24" s="200">
        <f>0.03+33069.54+461919.94+7125.18+38728.97-1963.44-67604.15-58304.55-4.92-125251.36</f>
        <v>287715.2400000001</v>
      </c>
      <c r="F24" s="200">
        <v>539149.01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2.75">
      <c r="A25" s="11"/>
      <c r="B25" s="200"/>
      <c r="C25" s="200"/>
      <c r="D25" s="32" t="s">
        <v>64</v>
      </c>
      <c r="E25" s="271">
        <f>SUM(E24,E21)</f>
        <v>299019.77000000014</v>
      </c>
      <c r="F25" s="271">
        <f>SUM(F21,F24)</f>
        <v>550453.54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2.75">
      <c r="A26" s="32" t="s">
        <v>65</v>
      </c>
      <c r="B26" s="271">
        <f>SUM(B19,B15)</f>
        <v>1741384.04</v>
      </c>
      <c r="C26" s="271">
        <f>SUM(C19,C15)</f>
        <v>1195636.3900000001</v>
      </c>
      <c r="D26" s="33" t="s">
        <v>66</v>
      </c>
      <c r="E26" s="271">
        <f>SUM(E11,E19,E25)</f>
        <v>2689158.98</v>
      </c>
      <c r="F26" s="271">
        <f>SUM(F11,F19,F25)</f>
        <v>2425174.38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2.75">
      <c r="A27" s="11"/>
      <c r="B27" s="200"/>
      <c r="C27" s="200"/>
      <c r="D27" s="11"/>
      <c r="E27" s="200"/>
      <c r="F27" s="200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6" ht="12.75">
      <c r="A28" s="12" t="s">
        <v>67</v>
      </c>
      <c r="B28" s="200"/>
      <c r="C28" s="200"/>
      <c r="D28" s="12" t="s">
        <v>68</v>
      </c>
      <c r="E28" s="200"/>
      <c r="F28" s="200"/>
    </row>
    <row r="29" spans="1:6" ht="25.5">
      <c r="A29" s="34" t="s">
        <v>69</v>
      </c>
      <c r="B29" s="200"/>
      <c r="C29" s="200"/>
      <c r="D29" s="11" t="s">
        <v>70</v>
      </c>
      <c r="E29" s="200"/>
      <c r="F29" s="200"/>
    </row>
    <row r="30" spans="1:6" ht="12.75">
      <c r="A30" s="10" t="s">
        <v>12</v>
      </c>
      <c r="B30" s="200">
        <v>227.33</v>
      </c>
      <c r="C30" s="200">
        <v>209.88</v>
      </c>
      <c r="D30" s="34" t="s">
        <v>71</v>
      </c>
      <c r="E30" s="200"/>
      <c r="F30" s="200"/>
    </row>
    <row r="31" spans="1:6" ht="25.5">
      <c r="A31" s="10" t="s">
        <v>13</v>
      </c>
      <c r="B31" s="200">
        <f>17873.82+744.95</f>
        <v>18618.77</v>
      </c>
      <c r="C31" s="200">
        <v>42780.33</v>
      </c>
      <c r="D31" s="114" t="s">
        <v>338</v>
      </c>
      <c r="E31" s="200"/>
      <c r="F31" s="200"/>
    </row>
    <row r="32" spans="1:6" ht="25.5">
      <c r="A32" s="10" t="s">
        <v>14</v>
      </c>
      <c r="B32" s="200">
        <v>875057.04</v>
      </c>
      <c r="C32" s="200">
        <v>1183849.79</v>
      </c>
      <c r="D32" s="11" t="s">
        <v>340</v>
      </c>
      <c r="E32" s="200"/>
      <c r="F32" s="200"/>
    </row>
    <row r="33" spans="1:6" ht="12.75">
      <c r="A33" s="10" t="s">
        <v>15</v>
      </c>
      <c r="B33" s="200">
        <v>875057.04</v>
      </c>
      <c r="C33" s="200">
        <f>C32</f>
        <v>1183849.79</v>
      </c>
      <c r="D33" s="11" t="s">
        <v>339</v>
      </c>
      <c r="E33" s="200"/>
      <c r="F33" s="200"/>
    </row>
    <row r="34" spans="1:6" ht="12.75">
      <c r="A34" s="10" t="s">
        <v>16</v>
      </c>
      <c r="B34" s="200"/>
      <c r="C34" s="200"/>
      <c r="D34" s="114" t="s">
        <v>279</v>
      </c>
      <c r="E34" s="200">
        <f>840+719.55</f>
        <v>1559.55</v>
      </c>
      <c r="F34" s="200">
        <v>934.11</v>
      </c>
    </row>
    <row r="35" spans="1:6" ht="12.75">
      <c r="A35" s="33" t="s">
        <v>24</v>
      </c>
      <c r="B35" s="271">
        <f>SUM(B30:B32,B34)</f>
        <v>893903.14</v>
      </c>
      <c r="C35" s="271">
        <f>SUM(C30:C32,C34)</f>
        <v>1226840</v>
      </c>
      <c r="D35" s="114" t="s">
        <v>341</v>
      </c>
      <c r="E35" s="200">
        <v>170.82</v>
      </c>
      <c r="F35" s="200">
        <v>496.34</v>
      </c>
    </row>
    <row r="36" spans="1:6" ht="12.75">
      <c r="A36" s="34" t="s">
        <v>72</v>
      </c>
      <c r="B36" s="200"/>
      <c r="C36" s="200"/>
      <c r="D36" s="114" t="s">
        <v>342</v>
      </c>
      <c r="E36" s="200"/>
      <c r="F36" s="200">
        <v>0</v>
      </c>
    </row>
    <row r="37" spans="1:6" ht="25.5">
      <c r="A37" s="10" t="s">
        <v>17</v>
      </c>
      <c r="B37" s="200"/>
      <c r="C37" s="200"/>
      <c r="D37" s="114" t="s">
        <v>343</v>
      </c>
      <c r="E37" s="200"/>
      <c r="F37" s="200">
        <v>115.82</v>
      </c>
    </row>
    <row r="38" spans="1:6" ht="12.75">
      <c r="A38" s="10" t="s">
        <v>18</v>
      </c>
      <c r="B38" s="200"/>
      <c r="C38" s="200"/>
      <c r="D38" s="114" t="s">
        <v>344</v>
      </c>
      <c r="E38" s="200">
        <f>35.01+258.16</f>
        <v>293.17</v>
      </c>
      <c r="F38" s="200">
        <v>0</v>
      </c>
    </row>
    <row r="39" spans="1:6" ht="12.75">
      <c r="A39" s="10" t="s">
        <v>20</v>
      </c>
      <c r="B39" s="200"/>
      <c r="C39" s="200"/>
      <c r="D39" s="33" t="s">
        <v>24</v>
      </c>
      <c r="E39" s="271">
        <f>SUM(E34:E38)</f>
        <v>2023.54</v>
      </c>
      <c r="F39" s="271">
        <f>SUM(F31:F32,F34:F38)</f>
        <v>1546.27</v>
      </c>
    </row>
    <row r="40" spans="1:6" ht="12.75">
      <c r="A40" s="10" t="s">
        <v>19</v>
      </c>
      <c r="B40" s="200"/>
      <c r="C40" s="200"/>
      <c r="D40" s="33"/>
      <c r="E40" s="200"/>
      <c r="F40" s="200"/>
    </row>
    <row r="41" spans="1:6" ht="12.75">
      <c r="A41" s="10" t="s">
        <v>21</v>
      </c>
      <c r="B41" s="200"/>
      <c r="C41" s="200"/>
      <c r="D41" s="114"/>
      <c r="E41" s="200"/>
      <c r="F41" s="200"/>
    </row>
    <row r="42" spans="1:6" ht="12.75">
      <c r="A42" s="10" t="s">
        <v>22</v>
      </c>
      <c r="B42" s="200"/>
      <c r="C42" s="200"/>
      <c r="D42" s="114"/>
      <c r="E42" s="200"/>
      <c r="F42" s="200"/>
    </row>
    <row r="43" spans="1:6" ht="12.75">
      <c r="A43" s="10" t="s">
        <v>18</v>
      </c>
      <c r="B43" s="200"/>
      <c r="C43" s="200"/>
      <c r="D43" s="114"/>
      <c r="E43" s="200"/>
      <c r="F43" s="200"/>
    </row>
    <row r="44" spans="1:6" ht="12.75">
      <c r="A44" s="10" t="s">
        <v>20</v>
      </c>
      <c r="B44" s="200"/>
      <c r="C44" s="200"/>
      <c r="D44" s="10"/>
      <c r="E44" s="200"/>
      <c r="F44" s="200"/>
    </row>
    <row r="45" spans="1:6" ht="12.75">
      <c r="A45" s="10" t="s">
        <v>21</v>
      </c>
      <c r="B45" s="200"/>
      <c r="C45" s="200"/>
      <c r="D45" s="10"/>
      <c r="E45" s="200"/>
      <c r="F45" s="200"/>
    </row>
    <row r="46" spans="1:6" ht="12.75">
      <c r="A46" s="10" t="s">
        <v>23</v>
      </c>
      <c r="B46" s="287"/>
      <c r="C46" s="200"/>
      <c r="D46" s="286"/>
      <c r="E46" s="200"/>
      <c r="F46" s="200"/>
    </row>
    <row r="47" spans="1:6" ht="12.75">
      <c r="A47" s="33" t="s">
        <v>25</v>
      </c>
      <c r="B47" s="271">
        <f>SUM(B37,B42,B46)</f>
        <v>0</v>
      </c>
      <c r="C47" s="271">
        <f>SUM(C37,C42,C46)</f>
        <v>0</v>
      </c>
      <c r="D47" s="10"/>
      <c r="E47" s="200"/>
      <c r="F47" s="200"/>
    </row>
    <row r="48" spans="1:6" ht="12.75">
      <c r="A48" s="34" t="s">
        <v>73</v>
      </c>
      <c r="B48" s="200"/>
      <c r="C48" s="200"/>
      <c r="D48" s="11"/>
      <c r="E48" s="200"/>
      <c r="F48" s="200"/>
    </row>
    <row r="49" spans="1:6" s="9" customFormat="1" ht="12.75">
      <c r="A49" s="11" t="s">
        <v>26</v>
      </c>
      <c r="B49" s="200"/>
      <c r="C49" s="200">
        <v>0</v>
      </c>
      <c r="D49" s="11"/>
      <c r="E49" s="200"/>
      <c r="F49" s="200"/>
    </row>
    <row r="50" spans="1:6" s="9" customFormat="1" ht="12.75">
      <c r="A50" s="11" t="s">
        <v>244</v>
      </c>
      <c r="B50" s="287">
        <f>2.42+948.76+3968.22+48486.23</f>
        <v>53405.630000000005</v>
      </c>
      <c r="C50" s="200">
        <v>2507.11</v>
      </c>
      <c r="D50" s="11"/>
      <c r="E50" s="200"/>
      <c r="F50" s="200"/>
    </row>
    <row r="51" spans="1:6" s="9" customFormat="1" ht="12.75">
      <c r="A51" s="32" t="s">
        <v>27</v>
      </c>
      <c r="B51" s="271">
        <f>SUM(B49:B50)</f>
        <v>53405.630000000005</v>
      </c>
      <c r="C51" s="271">
        <f>SUM(C49:C50)</f>
        <v>2507.11</v>
      </c>
      <c r="D51" s="200"/>
      <c r="E51" s="200"/>
      <c r="F51" s="200"/>
    </row>
    <row r="52" spans="1:6" s="9" customFormat="1" ht="12.75">
      <c r="A52" s="31" t="s">
        <v>74</v>
      </c>
      <c r="B52" s="200">
        <v>2489.71</v>
      </c>
      <c r="C52" s="200">
        <v>1737</v>
      </c>
      <c r="E52" s="200"/>
      <c r="F52" s="200"/>
    </row>
    <row r="53" spans="1:6" s="9" customFormat="1" ht="12.75">
      <c r="A53" s="32" t="s">
        <v>75</v>
      </c>
      <c r="B53" s="271">
        <f>SUM(B35,B47,B51,B52)</f>
        <v>949798.48</v>
      </c>
      <c r="C53" s="271">
        <f>SUM(C35,C47,C51,C52)</f>
        <v>1231084.11</v>
      </c>
      <c r="D53" s="33" t="s">
        <v>75</v>
      </c>
      <c r="E53" s="271">
        <f>E39</f>
        <v>2023.54</v>
      </c>
      <c r="F53" s="271">
        <f>F39</f>
        <v>1546.27</v>
      </c>
    </row>
    <row r="54" spans="1:6" s="9" customFormat="1" ht="12.75">
      <c r="A54" s="11"/>
      <c r="B54" s="200"/>
      <c r="C54" s="200"/>
      <c r="D54" s="32"/>
      <c r="E54" s="200"/>
      <c r="F54" s="200"/>
    </row>
    <row r="55" spans="1:6" s="9" customFormat="1" ht="12.75">
      <c r="A55" s="32" t="s">
        <v>77</v>
      </c>
      <c r="B55" s="271">
        <f>SUM(B26,B53)</f>
        <v>2691182.52</v>
      </c>
      <c r="C55" s="271">
        <f>SUM(C26,C53)</f>
        <v>2426720.5</v>
      </c>
      <c r="D55" s="32" t="s">
        <v>76</v>
      </c>
      <c r="E55" s="271">
        <f>SUM(E26,E53)</f>
        <v>2691182.52</v>
      </c>
      <c r="F55" s="271">
        <f>SUM(F26,F53)</f>
        <v>2426720.65</v>
      </c>
    </row>
    <row r="56" s="9" customFormat="1" ht="12.75"/>
    <row r="57" s="9" customFormat="1" ht="12.75"/>
    <row r="58" spans="1:5" s="9" customFormat="1" ht="12.75">
      <c r="A58" s="8" t="s">
        <v>435</v>
      </c>
      <c r="B58" s="377" t="s">
        <v>245</v>
      </c>
      <c r="C58" s="377"/>
      <c r="D58" s="377" t="s">
        <v>246</v>
      </c>
      <c r="E58" s="377"/>
    </row>
    <row r="61" ht="12.75">
      <c r="E61" s="250"/>
    </row>
  </sheetData>
  <mergeCells count="6">
    <mergeCell ref="E1:F1"/>
    <mergeCell ref="E5:F5"/>
    <mergeCell ref="C3:D3"/>
    <mergeCell ref="B58:C58"/>
    <mergeCell ref="D58:E58"/>
    <mergeCell ref="B5:C5"/>
  </mergeCells>
  <printOptions/>
  <pageMargins left="0.36" right="0.18" top="0.49" bottom="0.48" header="0.5" footer="0.5"/>
  <pageSetup fitToHeight="1" fitToWidth="1" horizontalDpi="300" verticalDpi="300" orientation="portrait" paperSize="9" scale="8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showZeros="0" workbookViewId="0" topLeftCell="A34">
      <selection activeCell="B26" sqref="B26"/>
    </sheetView>
  </sheetViews>
  <sheetFormatPr defaultColWidth="9.140625" defaultRowHeight="12.75"/>
  <cols>
    <col min="1" max="1" width="34.8515625" style="8" customWidth="1"/>
    <col min="2" max="2" width="9.57421875" style="8" customWidth="1"/>
    <col min="3" max="3" width="9.7109375" style="8" customWidth="1"/>
    <col min="4" max="4" width="33.57421875" style="8" customWidth="1"/>
    <col min="5" max="5" width="9.57421875" style="8" bestFit="1" customWidth="1"/>
    <col min="6" max="6" width="10.140625" style="8" customWidth="1"/>
    <col min="7" max="16384" width="9.140625" style="8" customWidth="1"/>
  </cols>
  <sheetData>
    <row r="1" spans="5:6" ht="25.5" customHeight="1">
      <c r="E1" s="383" t="s">
        <v>357</v>
      </c>
      <c r="F1" s="383"/>
    </row>
    <row r="2" spans="5:6" ht="12.75">
      <c r="E2" s="54"/>
      <c r="F2" s="54"/>
    </row>
    <row r="3" spans="1:6" ht="12.75" customHeight="1">
      <c r="A3" s="55"/>
      <c r="C3" s="385" t="s">
        <v>28</v>
      </c>
      <c r="D3" s="385"/>
      <c r="E3" s="54"/>
      <c r="F3" s="54"/>
    </row>
    <row r="4" spans="5:6" ht="12.75">
      <c r="E4" s="54"/>
      <c r="F4" s="54"/>
    </row>
    <row r="5" spans="1:6" ht="12.75">
      <c r="A5" s="384" t="s">
        <v>374</v>
      </c>
      <c r="B5" s="384"/>
      <c r="E5" s="54"/>
      <c r="F5" s="54"/>
    </row>
    <row r="6" spans="1:6" ht="12.75">
      <c r="A6" s="386" t="s">
        <v>436</v>
      </c>
      <c r="B6" s="386"/>
      <c r="C6" s="14"/>
      <c r="D6" s="199" t="s">
        <v>334</v>
      </c>
      <c r="E6" s="377" t="s">
        <v>403</v>
      </c>
      <c r="F6" s="377"/>
    </row>
    <row r="7" spans="1:6" ht="15">
      <c r="A7" s="13"/>
      <c r="B7" s="15"/>
      <c r="C7" s="16"/>
      <c r="D7" s="17"/>
      <c r="E7" s="117"/>
      <c r="F7" s="117"/>
    </row>
    <row r="8" spans="1:7" ht="12.75">
      <c r="A8" s="115"/>
      <c r="B8" s="18"/>
      <c r="C8" s="18"/>
      <c r="D8" s="17"/>
      <c r="E8" s="118"/>
      <c r="F8" s="119" t="s">
        <v>129</v>
      </c>
      <c r="G8" s="57"/>
    </row>
    <row r="9" spans="1:7" ht="25.5">
      <c r="A9" s="120" t="s">
        <v>29</v>
      </c>
      <c r="B9" s="120" t="s">
        <v>3</v>
      </c>
      <c r="C9" s="120" t="s">
        <v>6</v>
      </c>
      <c r="D9" s="120" t="s">
        <v>30</v>
      </c>
      <c r="E9" s="120" t="s">
        <v>3</v>
      </c>
      <c r="F9" s="120" t="s">
        <v>6</v>
      </c>
      <c r="G9" s="57"/>
    </row>
    <row r="10" spans="1:7" ht="12.75">
      <c r="A10" s="19" t="s">
        <v>7</v>
      </c>
      <c r="B10" s="19">
        <v>1</v>
      </c>
      <c r="C10" s="19">
        <v>2</v>
      </c>
      <c r="D10" s="19" t="s">
        <v>7</v>
      </c>
      <c r="E10" s="19">
        <v>1</v>
      </c>
      <c r="F10" s="19">
        <v>2</v>
      </c>
      <c r="G10" s="57"/>
    </row>
    <row r="11" spans="1:7" ht="18" customHeight="1">
      <c r="A11" s="20" t="s">
        <v>31</v>
      </c>
      <c r="B11" s="21"/>
      <c r="C11" s="21"/>
      <c r="D11" s="20" t="s">
        <v>32</v>
      </c>
      <c r="E11" s="202"/>
      <c r="F11" s="202"/>
      <c r="G11" s="57"/>
    </row>
    <row r="12" spans="1:7" s="23" customFormat="1" ht="12">
      <c r="A12" s="26" t="s">
        <v>33</v>
      </c>
      <c r="B12" s="201"/>
      <c r="C12" s="201"/>
      <c r="D12" s="26" t="s">
        <v>78</v>
      </c>
      <c r="E12" s="202"/>
      <c r="F12" s="202"/>
      <c r="G12" s="22"/>
    </row>
    <row r="13" spans="1:7" s="25" customFormat="1" ht="12">
      <c r="A13" s="27" t="s">
        <v>34</v>
      </c>
      <c r="B13" s="202">
        <v>4.92</v>
      </c>
      <c r="C13" s="202">
        <v>0.75</v>
      </c>
      <c r="D13" s="27" t="s">
        <v>79</v>
      </c>
      <c r="E13" s="202">
        <v>7125.18</v>
      </c>
      <c r="F13" s="202">
        <v>22733.44</v>
      </c>
      <c r="G13" s="24"/>
    </row>
    <row r="14" spans="1:7" s="25" customFormat="1" ht="23.25" customHeight="1">
      <c r="A14" s="27" t="s">
        <v>356</v>
      </c>
      <c r="B14" s="202">
        <v>58304.55</v>
      </c>
      <c r="C14" s="202">
        <v>17719.62</v>
      </c>
      <c r="D14" s="27" t="s">
        <v>80</v>
      </c>
      <c r="E14" s="202">
        <v>461919.94</v>
      </c>
      <c r="F14" s="202">
        <v>633597.15</v>
      </c>
      <c r="G14" s="24"/>
    </row>
    <row r="15" spans="1:7" s="25" customFormat="1" ht="30" customHeight="1">
      <c r="A15" s="27" t="s">
        <v>35</v>
      </c>
      <c r="B15" s="202"/>
      <c r="C15" s="202"/>
      <c r="D15" s="27" t="s">
        <v>81</v>
      </c>
      <c r="E15" s="202">
        <v>268403.5</v>
      </c>
      <c r="F15" s="202">
        <v>327944.48</v>
      </c>
      <c r="G15" s="24"/>
    </row>
    <row r="16" spans="1:7" s="25" customFormat="1" ht="24">
      <c r="A16" s="27" t="s">
        <v>82</v>
      </c>
      <c r="B16" s="202">
        <v>67604.15</v>
      </c>
      <c r="C16" s="202">
        <v>61933.23</v>
      </c>
      <c r="D16" s="27" t="s">
        <v>248</v>
      </c>
      <c r="E16" s="202">
        <v>33069.54</v>
      </c>
      <c r="F16" s="202">
        <v>25181.75</v>
      </c>
      <c r="G16" s="24"/>
    </row>
    <row r="17" spans="1:7" s="25" customFormat="1" ht="12">
      <c r="A17" s="27" t="s">
        <v>36</v>
      </c>
      <c r="B17" s="202">
        <v>1963.44</v>
      </c>
      <c r="C17" s="202">
        <v>25681.26</v>
      </c>
      <c r="D17" s="35" t="s">
        <v>83</v>
      </c>
      <c r="E17" s="202">
        <v>38728.97</v>
      </c>
      <c r="F17" s="202">
        <v>28604.38</v>
      </c>
      <c r="G17" s="24"/>
    </row>
    <row r="18" spans="1:6" s="25" customFormat="1" ht="12">
      <c r="A18" s="28" t="s">
        <v>37</v>
      </c>
      <c r="B18" s="265">
        <f>SUM(B13:B17)</f>
        <v>127877.06</v>
      </c>
      <c r="C18" s="265">
        <f>SUM(C13:C17)</f>
        <v>105334.86</v>
      </c>
      <c r="D18" s="27" t="s">
        <v>41</v>
      </c>
      <c r="E18" s="202">
        <v>0.03</v>
      </c>
      <c r="F18" s="202">
        <v>67.62</v>
      </c>
    </row>
    <row r="19" spans="1:6" s="25" customFormat="1" ht="12">
      <c r="A19" s="27"/>
      <c r="B19" s="202"/>
      <c r="C19" s="202"/>
      <c r="D19" s="28" t="s">
        <v>37</v>
      </c>
      <c r="E19" s="265">
        <f>SUM(E13:E14,E16:E18)</f>
        <v>540843.66</v>
      </c>
      <c r="F19" s="265">
        <f>SUM(F13:F14,F16:F18)</f>
        <v>710184.34</v>
      </c>
    </row>
    <row r="20" spans="1:6" s="25" customFormat="1" ht="12">
      <c r="A20" s="29" t="s">
        <v>38</v>
      </c>
      <c r="B20" s="202"/>
      <c r="C20" s="202"/>
      <c r="D20" s="27"/>
      <c r="E20" s="202"/>
      <c r="F20" s="202"/>
    </row>
    <row r="21" spans="1:6" s="25" customFormat="1" ht="12">
      <c r="A21" s="96" t="s">
        <v>249</v>
      </c>
      <c r="B21" s="202">
        <v>1815</v>
      </c>
      <c r="C21" s="202">
        <v>1721.03</v>
      </c>
      <c r="D21" s="29" t="s">
        <v>84</v>
      </c>
      <c r="E21" s="202">
        <v>0</v>
      </c>
      <c r="F21" s="202">
        <v>0.03</v>
      </c>
    </row>
    <row r="22" spans="1:6" s="25" customFormat="1" ht="12">
      <c r="A22" s="27" t="s">
        <v>406</v>
      </c>
      <c r="B22" s="202">
        <v>21325.97</v>
      </c>
      <c r="C22" s="202">
        <v>22376.73</v>
      </c>
      <c r="D22" s="27"/>
      <c r="E22" s="202"/>
      <c r="F22" s="202"/>
    </row>
    <row r="23" spans="1:6" s="25" customFormat="1" ht="12">
      <c r="A23" s="27" t="s">
        <v>39</v>
      </c>
      <c r="B23" s="202">
        <v>7196.57</v>
      </c>
      <c r="C23" s="202">
        <v>9325.6</v>
      </c>
      <c r="D23" s="29"/>
      <c r="E23" s="203"/>
      <c r="F23" s="203"/>
    </row>
    <row r="24" spans="1:6" s="25" customFormat="1" ht="24">
      <c r="A24" s="27" t="s">
        <v>40</v>
      </c>
      <c r="B24" s="202">
        <f>87153.84+2822.71</f>
        <v>89976.55</v>
      </c>
      <c r="C24" s="202">
        <v>31368.05</v>
      </c>
      <c r="D24" s="27"/>
      <c r="E24" s="203"/>
      <c r="F24" s="203"/>
    </row>
    <row r="25" spans="1:6" s="25" customFormat="1" ht="12">
      <c r="A25" s="27" t="s">
        <v>41</v>
      </c>
      <c r="B25" s="202">
        <f>205.83+1334.78+3396.66</f>
        <v>4937.2699999999995</v>
      </c>
      <c r="C25" s="202">
        <v>909.09</v>
      </c>
      <c r="D25" s="28" t="s">
        <v>42</v>
      </c>
      <c r="E25" s="266">
        <f>SUM(E21:E24)</f>
        <v>0</v>
      </c>
      <c r="F25" s="266">
        <f>SUM(F21:F24)</f>
        <v>0.03</v>
      </c>
    </row>
    <row r="26" spans="1:6" s="25" customFormat="1" ht="12">
      <c r="A26" s="28" t="s">
        <v>42</v>
      </c>
      <c r="B26" s="265">
        <f>SUM(B21:B25)</f>
        <v>125251.36</v>
      </c>
      <c r="C26" s="265">
        <f>SUM(C21:C25)</f>
        <v>65700.5</v>
      </c>
      <c r="D26" s="28"/>
      <c r="E26" s="203"/>
      <c r="F26" s="203"/>
    </row>
    <row r="27" spans="1:6" s="25" customFormat="1" ht="12">
      <c r="A27" s="28"/>
      <c r="B27" s="202"/>
      <c r="C27" s="202"/>
      <c r="D27" s="29"/>
      <c r="E27" s="203"/>
      <c r="F27" s="203"/>
    </row>
    <row r="28" spans="1:6" s="25" customFormat="1" ht="12.75" customHeight="1">
      <c r="A28" s="29" t="s">
        <v>43</v>
      </c>
      <c r="B28" s="265">
        <f>SUM(B18,B26)</f>
        <v>253128.41999999998</v>
      </c>
      <c r="C28" s="265">
        <f>SUM(C18,C26)</f>
        <v>171035.36</v>
      </c>
      <c r="D28" s="29" t="s">
        <v>85</v>
      </c>
      <c r="E28" s="265">
        <f>SUM(E19,E21)</f>
        <v>540843.66</v>
      </c>
      <c r="F28" s="265">
        <f>SUM(F19,F21)</f>
        <v>710184.37</v>
      </c>
    </row>
    <row r="29" spans="1:6" s="25" customFormat="1" ht="13.5" customHeight="1">
      <c r="A29" s="29" t="s">
        <v>44</v>
      </c>
      <c r="B29" s="202">
        <f>IF(E28-B28&gt;0,E28-B28,0)</f>
        <v>287715.24000000005</v>
      </c>
      <c r="C29" s="202">
        <f>IF(F28-C28&gt;0,F28-C28,0)</f>
        <v>539149.01</v>
      </c>
      <c r="D29" s="29" t="s">
        <v>86</v>
      </c>
      <c r="E29" s="202">
        <f>IF(B28-E28&gt;0,B28-E28,0)</f>
        <v>0</v>
      </c>
      <c r="F29" s="202"/>
    </row>
    <row r="30" spans="1:6" s="25" customFormat="1" ht="14.25" customHeight="1">
      <c r="A30" s="29" t="s">
        <v>87</v>
      </c>
      <c r="B30" s="202"/>
      <c r="C30" s="202"/>
      <c r="D30" s="29" t="s">
        <v>88</v>
      </c>
      <c r="E30" s="202"/>
      <c r="F30" s="202"/>
    </row>
    <row r="31" spans="1:6" s="25" customFormat="1" ht="13.5" customHeight="1">
      <c r="A31" s="97" t="s">
        <v>346</v>
      </c>
      <c r="B31" s="265">
        <f>B28+B30</f>
        <v>253128.41999999998</v>
      </c>
      <c r="C31" s="265">
        <f>C28+C30</f>
        <v>171035.36</v>
      </c>
      <c r="D31" s="29" t="s">
        <v>370</v>
      </c>
      <c r="E31" s="265">
        <f>E28+E30</f>
        <v>540843.66</v>
      </c>
      <c r="F31" s="265">
        <f>F28+F30</f>
        <v>710184.37</v>
      </c>
    </row>
    <row r="32" spans="1:6" s="25" customFormat="1" ht="17.25" customHeight="1">
      <c r="A32" s="29" t="s">
        <v>351</v>
      </c>
      <c r="B32" s="202">
        <f>IF(B29&gt;0,B29+B30,0)</f>
        <v>287715.24000000005</v>
      </c>
      <c r="C32" s="202">
        <f>IF(C29&gt;0,C29+C30,0)</f>
        <v>539149.01</v>
      </c>
      <c r="D32" s="29" t="s">
        <v>352</v>
      </c>
      <c r="E32" s="202">
        <f>IF(E29&gt;0,E29+E30,0)</f>
        <v>0</v>
      </c>
      <c r="F32" s="202"/>
    </row>
    <row r="33" spans="1:6" s="25" customFormat="1" ht="15.75" customHeight="1">
      <c r="A33" s="29" t="s">
        <v>347</v>
      </c>
      <c r="B33" s="202"/>
      <c r="C33" s="202"/>
      <c r="D33" s="381"/>
      <c r="E33" s="202"/>
      <c r="F33" s="202"/>
    </row>
    <row r="34" spans="1:6" s="25" customFormat="1" ht="15.75" customHeight="1">
      <c r="A34" s="27" t="s">
        <v>348</v>
      </c>
      <c r="B34" s="202"/>
      <c r="C34" s="202"/>
      <c r="D34" s="382"/>
      <c r="E34" s="202"/>
      <c r="F34" s="202"/>
    </row>
    <row r="35" spans="1:6" s="25" customFormat="1" ht="15.75" customHeight="1">
      <c r="A35" s="27" t="s">
        <v>349</v>
      </c>
      <c r="B35" s="202"/>
      <c r="C35" s="202"/>
      <c r="D35" s="382"/>
      <c r="E35" s="202"/>
      <c r="F35" s="202"/>
    </row>
    <row r="36" spans="1:6" s="25" customFormat="1" ht="15.75" customHeight="1">
      <c r="A36" s="28" t="s">
        <v>350</v>
      </c>
      <c r="B36" s="202">
        <f>SUM(B34:B35)</f>
        <v>0</v>
      </c>
      <c r="C36" s="202"/>
      <c r="D36" s="382"/>
      <c r="E36" s="202"/>
      <c r="F36" s="202"/>
    </row>
    <row r="37" spans="1:6" s="25" customFormat="1" ht="15" customHeight="1">
      <c r="A37" s="29" t="s">
        <v>354</v>
      </c>
      <c r="B37" s="265">
        <f>IF(B32&gt;0,B32-B36,0)</f>
        <v>287715.24000000005</v>
      </c>
      <c r="C37" s="265">
        <f>IF(C32&gt;0,C32-C36,0)</f>
        <v>539149.01</v>
      </c>
      <c r="D37" s="29" t="s">
        <v>355</v>
      </c>
      <c r="E37" s="202">
        <f>IF(E32&gt;0,E32+B36,0)</f>
        <v>0</v>
      </c>
      <c r="F37" s="202"/>
    </row>
    <row r="38" spans="1:6" s="25" customFormat="1" ht="17.25" customHeight="1">
      <c r="A38" s="97" t="s">
        <v>353</v>
      </c>
      <c r="B38" s="265">
        <f>SUM(B31,B33,B37)</f>
        <v>540843.66</v>
      </c>
      <c r="C38" s="265">
        <f>SUM(C31,C33,C37)</f>
        <v>710184.37</v>
      </c>
      <c r="D38" s="29" t="s">
        <v>89</v>
      </c>
      <c r="E38" s="265">
        <f>SUM(E31,E37)</f>
        <v>540843.66</v>
      </c>
      <c r="F38" s="265">
        <f>SUM(F31,F37)</f>
        <v>710184.37</v>
      </c>
    </row>
    <row r="39" spans="1:6" s="25" customFormat="1" ht="17.25" customHeight="1">
      <c r="A39" s="251"/>
      <c r="B39" s="206"/>
      <c r="C39" s="206"/>
      <c r="D39" s="207"/>
      <c r="E39" s="206"/>
      <c r="F39" s="206"/>
    </row>
    <row r="40" spans="1:6" s="25" customFormat="1" ht="17.25" customHeight="1">
      <c r="A40" s="251"/>
      <c r="B40" s="206"/>
      <c r="C40" s="206"/>
      <c r="D40" s="207"/>
      <c r="E40" s="206"/>
      <c r="F40" s="206"/>
    </row>
    <row r="41" s="25" customFormat="1" ht="12">
      <c r="A41" s="252"/>
    </row>
    <row r="42" s="25" customFormat="1" ht="12"/>
    <row r="43" spans="1:6" s="25" customFormat="1" ht="12.75" customHeight="1">
      <c r="A43" s="8" t="s">
        <v>435</v>
      </c>
      <c r="B43" s="379" t="s">
        <v>376</v>
      </c>
      <c r="C43" s="379"/>
      <c r="D43" s="380" t="s">
        <v>375</v>
      </c>
      <c r="E43" s="380"/>
      <c r="F43" s="380"/>
    </row>
    <row r="44" s="25" customFormat="1" ht="12"/>
    <row r="45" s="25" customFormat="1" ht="12"/>
    <row r="46" s="25" customFormat="1" ht="12"/>
    <row r="47" s="25" customFormat="1" ht="12"/>
    <row r="48" s="25" customFormat="1" ht="12">
      <c r="A48" s="23"/>
    </row>
    <row r="49" s="23" customFormat="1" ht="12"/>
    <row r="50" s="23" customFormat="1" ht="12"/>
    <row r="51" s="23" customFormat="1" ht="12"/>
    <row r="52" s="23" customFormat="1" ht="12"/>
    <row r="53" s="23" customFormat="1" ht="12"/>
    <row r="54" s="23" customFormat="1" ht="12"/>
    <row r="55" s="23" customFormat="1" ht="12"/>
    <row r="56" s="23" customFormat="1" ht="12"/>
    <row r="57" s="23" customFormat="1" ht="12"/>
    <row r="58" s="23" customFormat="1" ht="12"/>
    <row r="59" s="23" customFormat="1" ht="12.75">
      <c r="A59" s="8"/>
    </row>
  </sheetData>
  <mergeCells count="8">
    <mergeCell ref="B43:C43"/>
    <mergeCell ref="D43:F43"/>
    <mergeCell ref="D33:D36"/>
    <mergeCell ref="E1:F1"/>
    <mergeCell ref="A5:B5"/>
    <mergeCell ref="C3:D3"/>
    <mergeCell ref="E6:F6"/>
    <mergeCell ref="A6:B6"/>
  </mergeCells>
  <printOptions/>
  <pageMargins left="0.86" right="0.75" top="0.27" bottom="0.78" header="0.27" footer="0.33"/>
  <pageSetup fitToHeight="1" fitToWidth="1" horizontalDpi="300" verticalDpi="300" orientation="portrait" paperSize="9" scale="8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Zeros="0" workbookViewId="0" topLeftCell="A1">
      <selection activeCell="C32" sqref="C32"/>
    </sheetView>
  </sheetViews>
  <sheetFormatPr defaultColWidth="9.140625" defaultRowHeight="12.75"/>
  <cols>
    <col min="1" max="1" width="52.00390625" style="8" customWidth="1"/>
    <col min="2" max="2" width="12.57421875" style="8" customWidth="1"/>
    <col min="3" max="3" width="10.7109375" style="8" customWidth="1"/>
    <col min="4" max="4" width="10.8515625" style="8" customWidth="1"/>
    <col min="5" max="5" width="12.140625" style="8" customWidth="1"/>
    <col min="6" max="6" width="10.8515625" style="8" customWidth="1"/>
    <col min="7" max="7" width="11.140625" style="8" customWidth="1"/>
    <col min="8" max="16384" width="9.140625" style="8" customWidth="1"/>
  </cols>
  <sheetData>
    <row r="1" spans="1:7" ht="12.75">
      <c r="A1" s="78"/>
      <c r="B1" s="78"/>
      <c r="C1" s="78"/>
      <c r="D1" s="78"/>
      <c r="E1" s="387" t="s">
        <v>358</v>
      </c>
      <c r="F1" s="387"/>
      <c r="G1" s="78"/>
    </row>
    <row r="2" spans="1:7" ht="12.75">
      <c r="A2" s="48"/>
      <c r="B2" s="48"/>
      <c r="C2" s="49"/>
      <c r="D2" s="49"/>
      <c r="E2" s="78"/>
      <c r="F2" s="78"/>
      <c r="G2" s="78"/>
    </row>
    <row r="3" spans="1:7" ht="15">
      <c r="A3" s="390" t="s">
        <v>157</v>
      </c>
      <c r="B3" s="359"/>
      <c r="C3" s="359"/>
      <c r="D3" s="359"/>
      <c r="E3" s="359"/>
      <c r="F3" s="359"/>
      <c r="G3" s="78"/>
    </row>
    <row r="4" spans="1:7" ht="15">
      <c r="A4" s="75"/>
      <c r="B4" s="121"/>
      <c r="C4" s="121"/>
      <c r="D4" s="121"/>
      <c r="E4" s="121"/>
      <c r="F4" s="121"/>
      <c r="G4" s="78"/>
    </row>
    <row r="5" spans="1:7" ht="12.75">
      <c r="A5" s="50"/>
      <c r="B5" s="50"/>
      <c r="C5" s="51"/>
      <c r="D5" s="51"/>
      <c r="E5" s="78"/>
      <c r="F5" s="78"/>
      <c r="G5" s="78"/>
    </row>
    <row r="6" spans="1:7" ht="15">
      <c r="A6" s="74" t="s">
        <v>373</v>
      </c>
      <c r="B6" s="13"/>
      <c r="D6" s="125" t="s">
        <v>334</v>
      </c>
      <c r="F6" s="122" t="s">
        <v>403</v>
      </c>
      <c r="G6" s="78"/>
    </row>
    <row r="7" spans="1:7" ht="15">
      <c r="A7" s="386" t="s">
        <v>436</v>
      </c>
      <c r="B7" s="386"/>
      <c r="E7" s="123"/>
      <c r="F7" s="123"/>
      <c r="G7" s="78"/>
    </row>
    <row r="8" spans="1:7" ht="12.75">
      <c r="A8" s="74"/>
      <c r="B8" s="13"/>
      <c r="C8" s="52"/>
      <c r="D8" s="53"/>
      <c r="E8" s="78"/>
      <c r="F8" s="78"/>
      <c r="G8" s="124"/>
    </row>
    <row r="9" spans="1:7" ht="12.75">
      <c r="A9" s="74"/>
      <c r="B9" s="13"/>
      <c r="C9" s="52"/>
      <c r="D9" s="53"/>
      <c r="E9" s="78"/>
      <c r="F9" s="78"/>
      <c r="G9" s="126" t="s">
        <v>129</v>
      </c>
    </row>
    <row r="10" spans="1:7" ht="13.5" customHeight="1">
      <c r="A10" s="388" t="s">
        <v>130</v>
      </c>
      <c r="B10" s="388" t="s">
        <v>5</v>
      </c>
      <c r="C10" s="388"/>
      <c r="D10" s="388"/>
      <c r="E10" s="388" t="s">
        <v>6</v>
      </c>
      <c r="F10" s="388"/>
      <c r="G10" s="388"/>
    </row>
    <row r="11" spans="1:7" ht="18" customHeight="1">
      <c r="A11" s="389"/>
      <c r="B11" s="94" t="s">
        <v>131</v>
      </c>
      <c r="C11" s="94" t="s">
        <v>132</v>
      </c>
      <c r="D11" s="94" t="s">
        <v>133</v>
      </c>
      <c r="E11" s="94" t="s">
        <v>131</v>
      </c>
      <c r="F11" s="94" t="s">
        <v>132</v>
      </c>
      <c r="G11" s="94" t="s">
        <v>133</v>
      </c>
    </row>
    <row r="12" spans="1:7" s="62" customFormat="1" ht="12">
      <c r="A12" s="89" t="s">
        <v>7</v>
      </c>
      <c r="B12" s="89">
        <v>1</v>
      </c>
      <c r="C12" s="89">
        <v>2</v>
      </c>
      <c r="D12" s="89">
        <v>3</v>
      </c>
      <c r="E12" s="89">
        <v>4</v>
      </c>
      <c r="F12" s="89">
        <v>5</v>
      </c>
      <c r="G12" s="89">
        <v>6</v>
      </c>
    </row>
    <row r="13" spans="1:7" ht="25.5">
      <c r="A13" s="98" t="s">
        <v>134</v>
      </c>
      <c r="B13" s="204"/>
      <c r="C13" s="204"/>
      <c r="D13" s="204"/>
      <c r="E13" s="204"/>
      <c r="F13" s="204"/>
      <c r="G13" s="204"/>
    </row>
    <row r="14" spans="1:7" ht="12.75">
      <c r="A14" s="99" t="s">
        <v>135</v>
      </c>
      <c r="B14" s="204"/>
      <c r="C14" s="204"/>
      <c r="D14" s="204">
        <f aca="true" t="shared" si="0" ref="D14:D19">B14-C14</f>
        <v>0</v>
      </c>
      <c r="E14" s="204"/>
      <c r="F14" s="204"/>
      <c r="G14" s="204">
        <v>0</v>
      </c>
    </row>
    <row r="15" spans="1:7" ht="12.75">
      <c r="A15" s="99" t="s">
        <v>136</v>
      </c>
      <c r="B15" s="204">
        <f>274660+625144.29</f>
        <v>899804.29</v>
      </c>
      <c r="C15" s="204">
        <f>901991.58+199642</f>
        <v>1101633.58</v>
      </c>
      <c r="D15" s="204">
        <f t="shared" si="0"/>
        <v>-201829.29000000004</v>
      </c>
      <c r="E15" s="204">
        <v>1113953.67</v>
      </c>
      <c r="F15" s="204">
        <v>340740.08</v>
      </c>
      <c r="G15" s="204">
        <v>773213.59</v>
      </c>
    </row>
    <row r="16" spans="1:7" ht="12.75">
      <c r="A16" s="100" t="s">
        <v>152</v>
      </c>
      <c r="B16" s="204"/>
      <c r="C16" s="204"/>
      <c r="D16" s="204">
        <f t="shared" si="0"/>
        <v>0</v>
      </c>
      <c r="E16" s="204"/>
      <c r="F16" s="204"/>
      <c r="G16" s="204">
        <v>0</v>
      </c>
    </row>
    <row r="17" spans="1:7" ht="12.75">
      <c r="A17" s="99" t="s">
        <v>150</v>
      </c>
      <c r="B17" s="204">
        <v>5727.18</v>
      </c>
      <c r="C17" s="204"/>
      <c r="D17" s="204">
        <f t="shared" si="0"/>
        <v>5727.18</v>
      </c>
      <c r="E17" s="204">
        <v>533.44</v>
      </c>
      <c r="F17" s="204"/>
      <c r="G17" s="204">
        <v>533.44</v>
      </c>
    </row>
    <row r="18" spans="1:7" ht="12.75">
      <c r="A18" s="99" t="s">
        <v>138</v>
      </c>
      <c r="B18" s="204"/>
      <c r="C18" s="261"/>
      <c r="D18" s="204">
        <f t="shared" si="0"/>
        <v>0</v>
      </c>
      <c r="E18" s="204">
        <v>25181.75</v>
      </c>
      <c r="F18" s="204">
        <v>61926.28</v>
      </c>
      <c r="G18" s="204">
        <v>-36744.53</v>
      </c>
    </row>
    <row r="19" spans="1:7" ht="12.75">
      <c r="A19" s="99" t="s">
        <v>151</v>
      </c>
      <c r="B19" s="204"/>
      <c r="C19" s="204"/>
      <c r="D19" s="204">
        <f t="shared" si="0"/>
        <v>0</v>
      </c>
      <c r="E19" s="204"/>
      <c r="F19" s="204"/>
      <c r="G19" s="204">
        <v>0</v>
      </c>
    </row>
    <row r="20" spans="1:7" ht="25.5">
      <c r="A20" s="98" t="s">
        <v>139</v>
      </c>
      <c r="B20" s="211">
        <f>SUM(B14:B19)</f>
        <v>905531.4700000001</v>
      </c>
      <c r="C20" s="211">
        <f>SUM(C14:C19)</f>
        <v>1101633.58</v>
      </c>
      <c r="D20" s="211">
        <f>SUM(D14:D19)</f>
        <v>-196102.11000000004</v>
      </c>
      <c r="E20" s="211">
        <v>1139668.86</v>
      </c>
      <c r="F20" s="211">
        <v>402666.36</v>
      </c>
      <c r="G20" s="211">
        <v>737002.5</v>
      </c>
    </row>
    <row r="21" spans="1:7" ht="25.5">
      <c r="A21" s="101" t="s">
        <v>250</v>
      </c>
      <c r="B21" s="204"/>
      <c r="C21" s="204"/>
      <c r="D21" s="204"/>
      <c r="E21" s="204"/>
      <c r="F21" s="204"/>
      <c r="G21" s="204"/>
    </row>
    <row r="22" spans="1:7" ht="12.75">
      <c r="A22" s="99" t="s">
        <v>140</v>
      </c>
      <c r="B22" s="204"/>
      <c r="C22" s="204">
        <f>123+528+244.2+3594.5+89+13.01+10.26+12.09+112.48+30+63+1102.03-1030+21938.55-1738.01+903.47</f>
        <v>25995.58</v>
      </c>
      <c r="D22" s="204">
        <f>B22-C22</f>
        <v>-25995.58</v>
      </c>
      <c r="E22" s="204">
        <v>1860.16</v>
      </c>
      <c r="F22" s="204">
        <v>23186.67</v>
      </c>
      <c r="G22" s="204">
        <v>-21326.51</v>
      </c>
    </row>
    <row r="23" spans="1:7" ht="12.75">
      <c r="A23" s="260" t="s">
        <v>407</v>
      </c>
      <c r="B23" s="204"/>
      <c r="C23" s="204">
        <f>358+1030+1738.01</f>
        <v>3126.01</v>
      </c>
      <c r="D23" s="204">
        <f aca="true" t="shared" si="1" ref="D23:D29">B23-C23</f>
        <v>-3126.01</v>
      </c>
      <c r="E23" s="204"/>
      <c r="F23" s="204"/>
      <c r="G23" s="204">
        <v>0</v>
      </c>
    </row>
    <row r="24" spans="1:7" ht="12.75">
      <c r="A24" s="99" t="s">
        <v>152</v>
      </c>
      <c r="B24" s="204"/>
      <c r="C24" s="204"/>
      <c r="D24" s="204">
        <f t="shared" si="1"/>
        <v>0</v>
      </c>
      <c r="E24" s="204"/>
      <c r="F24" s="204"/>
      <c r="G24" s="204">
        <v>0</v>
      </c>
    </row>
    <row r="25" spans="1:7" ht="12.75">
      <c r="A25" s="99" t="s">
        <v>153</v>
      </c>
      <c r="B25" s="204">
        <f>3500+925</f>
        <v>4425</v>
      </c>
      <c r="C25" s="261">
        <f>12091.19+79954.29+12352.44+4480.64</f>
        <v>108878.56</v>
      </c>
      <c r="D25" s="204">
        <f t="shared" si="1"/>
        <v>-104453.56</v>
      </c>
      <c r="E25" s="204">
        <v>1570</v>
      </c>
      <c r="F25" s="204">
        <v>36064.28</v>
      </c>
      <c r="G25" s="204">
        <v>-34494.28</v>
      </c>
    </row>
    <row r="26" spans="1:7" ht="12.75">
      <c r="A26" s="99" t="s">
        <v>138</v>
      </c>
      <c r="B26" s="204"/>
      <c r="C26" s="204"/>
      <c r="D26" s="204">
        <f t="shared" si="1"/>
        <v>0</v>
      </c>
      <c r="E26" s="204">
        <v>0</v>
      </c>
      <c r="F26" s="204">
        <v>0</v>
      </c>
      <c r="G26" s="204">
        <v>0</v>
      </c>
    </row>
    <row r="27" spans="1:7" ht="12.75">
      <c r="A27" s="99" t="s">
        <v>141</v>
      </c>
      <c r="B27" s="204"/>
      <c r="C27" s="204"/>
      <c r="D27" s="204">
        <f t="shared" si="1"/>
        <v>0</v>
      </c>
      <c r="E27" s="204"/>
      <c r="F27" s="204"/>
      <c r="G27" s="204">
        <v>0</v>
      </c>
    </row>
    <row r="28" spans="1:7" ht="12.75">
      <c r="A28" s="99" t="s">
        <v>142</v>
      </c>
      <c r="B28" s="204"/>
      <c r="C28" s="204"/>
      <c r="D28" s="204">
        <f t="shared" si="1"/>
        <v>0</v>
      </c>
      <c r="E28" s="204"/>
      <c r="F28" s="204"/>
      <c r="G28" s="204">
        <v>0</v>
      </c>
    </row>
    <row r="29" spans="1:7" ht="25.5">
      <c r="A29" s="99" t="s">
        <v>143</v>
      </c>
      <c r="B29" s="204"/>
      <c r="C29" s="204">
        <f>340.83-13.01-10.26-12.09+792+335.1+2136+16.16</f>
        <v>3584.73</v>
      </c>
      <c r="D29" s="204">
        <f t="shared" si="1"/>
        <v>-3584.73</v>
      </c>
      <c r="E29" s="204"/>
      <c r="F29" s="204">
        <v>2934.92</v>
      </c>
      <c r="G29" s="204">
        <v>-2934.92</v>
      </c>
    </row>
    <row r="30" spans="1:7" ht="25.5">
      <c r="A30" s="98" t="s">
        <v>144</v>
      </c>
      <c r="B30" s="211">
        <f>SUM(B22:B29)</f>
        <v>4425</v>
      </c>
      <c r="C30" s="211">
        <f>SUM(C22:C29)</f>
        <v>141584.88</v>
      </c>
      <c r="D30" s="211">
        <f>SUM(D22:D29)</f>
        <v>-137159.88</v>
      </c>
      <c r="E30" s="211">
        <v>3430.16</v>
      </c>
      <c r="F30" s="211">
        <v>62185.87</v>
      </c>
      <c r="G30" s="211">
        <v>-58755.71</v>
      </c>
    </row>
    <row r="31" spans="1:7" ht="12.75">
      <c r="A31" s="98" t="s">
        <v>145</v>
      </c>
      <c r="B31" s="204"/>
      <c r="C31" s="204"/>
      <c r="D31" s="204">
        <f aca="true" t="shared" si="2" ref="D31:D37">B31-C31</f>
        <v>0</v>
      </c>
      <c r="E31" s="204"/>
      <c r="F31" s="204"/>
      <c r="G31" s="204"/>
    </row>
    <row r="32" spans="1:7" ht="12.75">
      <c r="A32" s="99" t="s">
        <v>154</v>
      </c>
      <c r="B32" s="204"/>
      <c r="C32" s="204"/>
      <c r="D32" s="204">
        <f t="shared" si="2"/>
        <v>0</v>
      </c>
      <c r="E32" s="204"/>
      <c r="F32" s="204"/>
      <c r="G32" s="204"/>
    </row>
    <row r="33" spans="1:7" ht="12.75">
      <c r="A33" s="99" t="s">
        <v>155</v>
      </c>
      <c r="B33" s="204"/>
      <c r="C33" s="204"/>
      <c r="D33" s="204">
        <f t="shared" si="2"/>
        <v>0</v>
      </c>
      <c r="E33" s="204"/>
      <c r="F33" s="204"/>
      <c r="G33" s="204"/>
    </row>
    <row r="34" spans="1:7" ht="12.75">
      <c r="A34" s="99" t="s">
        <v>156</v>
      </c>
      <c r="B34" s="204"/>
      <c r="C34" s="204"/>
      <c r="D34" s="204">
        <f t="shared" si="2"/>
        <v>0</v>
      </c>
      <c r="E34" s="204"/>
      <c r="F34" s="204"/>
      <c r="G34" s="204"/>
    </row>
    <row r="35" spans="1:7" ht="12.75">
      <c r="A35" s="99" t="s">
        <v>137</v>
      </c>
      <c r="B35" s="204">
        <f>9411+1294.19+20048.41+3954.59+1668.71</f>
        <v>36376.9</v>
      </c>
      <c r="C35" s="204">
        <f>10+1290.28+117.16+4.92</f>
        <v>1422.3600000000001</v>
      </c>
      <c r="D35" s="204">
        <f t="shared" si="2"/>
        <v>34954.54</v>
      </c>
      <c r="E35" s="204">
        <v>28122.6</v>
      </c>
      <c r="F35" s="204"/>
      <c r="G35" s="204">
        <v>28122.6</v>
      </c>
    </row>
    <row r="36" spans="1:7" ht="12.75">
      <c r="A36" s="99" t="s">
        <v>138</v>
      </c>
      <c r="B36" s="261">
        <f>26.23+33015.78</f>
        <v>33042.01</v>
      </c>
      <c r="C36" s="204">
        <f>141.59+85.82+67444.01</f>
        <v>67671.42</v>
      </c>
      <c r="D36" s="204">
        <f>B36-C36</f>
        <v>-34629.409999999996</v>
      </c>
      <c r="E36" s="204"/>
      <c r="F36" s="204"/>
      <c r="G36" s="204"/>
    </row>
    <row r="37" spans="1:7" ht="12.75">
      <c r="A37" s="99" t="s">
        <v>146</v>
      </c>
      <c r="B37" s="261"/>
      <c r="C37" s="261"/>
      <c r="D37" s="204">
        <f t="shared" si="2"/>
        <v>0</v>
      </c>
      <c r="E37" s="204">
        <v>0</v>
      </c>
      <c r="F37" s="204">
        <v>780.97</v>
      </c>
      <c r="G37" s="204">
        <v>-780.97</v>
      </c>
    </row>
    <row r="38" spans="1:7" ht="12.75">
      <c r="A38" s="98" t="s">
        <v>147</v>
      </c>
      <c r="B38" s="211">
        <f>SUM(B32:B37)</f>
        <v>69418.91</v>
      </c>
      <c r="C38" s="211">
        <f>SUM(C32:C37)</f>
        <v>69093.78</v>
      </c>
      <c r="D38" s="211">
        <f>SUM(D32:D37)</f>
        <v>325.13000000000466</v>
      </c>
      <c r="E38" s="211">
        <v>28122.6</v>
      </c>
      <c r="F38" s="211">
        <v>780.97</v>
      </c>
      <c r="G38" s="211">
        <v>27341.63</v>
      </c>
    </row>
    <row r="39" spans="1:7" ht="12.75">
      <c r="A39" s="98" t="s">
        <v>148</v>
      </c>
      <c r="B39" s="211">
        <f>SUM(B38,B30,B20)</f>
        <v>979375.3800000001</v>
      </c>
      <c r="C39" s="211">
        <f>SUM(C38,C30,C20)</f>
        <v>1312312.24</v>
      </c>
      <c r="D39" s="211">
        <f>SUM(D38,D30,D20)</f>
        <v>-332936.86000000004</v>
      </c>
      <c r="E39" s="211">
        <v>1171221.62</v>
      </c>
      <c r="F39" s="211">
        <v>465633.2</v>
      </c>
      <c r="G39" s="211">
        <v>705588.42</v>
      </c>
    </row>
    <row r="40" spans="1:7" ht="12.75">
      <c r="A40" s="98" t="s">
        <v>149</v>
      </c>
      <c r="B40" s="267"/>
      <c r="C40" s="267"/>
      <c r="D40" s="211">
        <v>1226840</v>
      </c>
      <c r="E40" s="267"/>
      <c r="F40" s="267"/>
      <c r="G40" s="211">
        <v>521252</v>
      </c>
    </row>
    <row r="41" spans="1:7" ht="12.75">
      <c r="A41" s="101" t="s">
        <v>359</v>
      </c>
      <c r="B41" s="267"/>
      <c r="C41" s="267"/>
      <c r="D41" s="211">
        <f>D40+D39</f>
        <v>893903.1399999999</v>
      </c>
      <c r="E41" s="267"/>
      <c r="F41" s="267"/>
      <c r="G41" s="211">
        <v>1226840</v>
      </c>
    </row>
    <row r="42" spans="1:7" ht="12.75">
      <c r="A42" s="99" t="s">
        <v>360</v>
      </c>
      <c r="B42" s="267"/>
      <c r="C42" s="267"/>
      <c r="D42" s="200">
        <f>17873.82+744.95+227.33</f>
        <v>18846.100000000002</v>
      </c>
      <c r="E42" s="267"/>
      <c r="F42" s="267"/>
      <c r="G42" s="204">
        <v>42780.33</v>
      </c>
    </row>
    <row r="43" spans="1:7" ht="12.75">
      <c r="A43" s="76"/>
      <c r="B43" s="77"/>
      <c r="C43" s="77"/>
      <c r="D43" s="77"/>
      <c r="E43" s="77"/>
      <c r="F43" s="77"/>
      <c r="G43" s="77"/>
    </row>
    <row r="44" spans="1:7" ht="12.75">
      <c r="A44" s="78"/>
      <c r="B44" s="78"/>
      <c r="C44" s="78"/>
      <c r="D44" s="78"/>
      <c r="E44" s="78"/>
      <c r="F44" s="78"/>
      <c r="G44" s="78"/>
    </row>
    <row r="45" spans="1:7" ht="12.75">
      <c r="A45" s="78"/>
      <c r="B45" s="78"/>
      <c r="C45" s="78"/>
      <c r="D45" s="78"/>
      <c r="E45" s="78"/>
      <c r="F45" s="78"/>
      <c r="G45" s="78"/>
    </row>
    <row r="46" spans="1:7" ht="12.75">
      <c r="A46" s="8" t="s">
        <v>435</v>
      </c>
      <c r="B46" s="378" t="s">
        <v>251</v>
      </c>
      <c r="C46" s="378"/>
      <c r="D46" s="78"/>
      <c r="E46" s="378" t="s">
        <v>252</v>
      </c>
      <c r="F46" s="378"/>
      <c r="G46" s="78"/>
    </row>
  </sheetData>
  <mergeCells count="8">
    <mergeCell ref="E1:F1"/>
    <mergeCell ref="A10:A11"/>
    <mergeCell ref="A3:F3"/>
    <mergeCell ref="B46:C46"/>
    <mergeCell ref="E46:F46"/>
    <mergeCell ref="B10:D10"/>
    <mergeCell ref="E10:G10"/>
    <mergeCell ref="A7:B7"/>
  </mergeCells>
  <printOptions/>
  <pageMargins left="0.75" right="0.75" top="0.38" bottom="0.78" header="0.37" footer="0.5"/>
  <pageSetup fitToHeight="1" fitToWidth="1" horizontalDpi="300" verticalDpi="300" orientation="portrait" paperSize="9" scale="7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Zeros="0" workbookViewId="0" topLeftCell="A19">
      <selection activeCell="H33" sqref="H33"/>
    </sheetView>
  </sheetViews>
  <sheetFormatPr defaultColWidth="9.140625" defaultRowHeight="12.75"/>
  <cols>
    <col min="1" max="1" width="25.421875" style="127" customWidth="1"/>
    <col min="2" max="2" width="7.7109375" style="127" customWidth="1"/>
    <col min="3" max="3" width="8.28125" style="127" customWidth="1"/>
    <col min="4" max="4" width="10.140625" style="127" customWidth="1"/>
    <col min="5" max="5" width="9.00390625" style="127" customWidth="1"/>
    <col min="6" max="6" width="10.7109375" style="127" customWidth="1"/>
    <col min="7" max="7" width="10.00390625" style="127" customWidth="1"/>
    <col min="8" max="8" width="9.8515625" style="127" customWidth="1"/>
    <col min="9" max="9" width="9.00390625" style="127" customWidth="1"/>
    <col min="10" max="10" width="7.28125" style="127" customWidth="1"/>
    <col min="11" max="11" width="12.00390625" style="127" customWidth="1"/>
    <col min="12" max="16384" width="9.140625" style="8" customWidth="1"/>
  </cols>
  <sheetData>
    <row r="1" spans="8:11" ht="12.75">
      <c r="H1" s="128"/>
      <c r="I1" s="128" t="s">
        <v>361</v>
      </c>
      <c r="J1" s="128"/>
      <c r="K1" s="128"/>
    </row>
    <row r="3" spans="1:11" ht="19.5" customHeight="1">
      <c r="A3" s="369" t="s">
        <v>90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</row>
    <row r="4" spans="1:11" ht="12.75">
      <c r="A4" s="36"/>
      <c r="B4" s="37"/>
      <c r="C4" s="37"/>
      <c r="D4" s="37"/>
      <c r="E4" s="37"/>
      <c r="F4" s="37"/>
      <c r="G4" s="37"/>
      <c r="H4" s="37"/>
      <c r="I4" s="37"/>
      <c r="J4" s="38"/>
      <c r="K4" s="38"/>
    </row>
    <row r="5" spans="1:11" ht="14.25" customHeight="1">
      <c r="A5" s="386" t="s">
        <v>373</v>
      </c>
      <c r="B5" s="386"/>
      <c r="C5" s="386"/>
      <c r="D5" s="39"/>
      <c r="E5" s="39"/>
      <c r="F5" s="37"/>
      <c r="G5" s="37"/>
      <c r="H5" s="79"/>
      <c r="I5" s="353" t="s">
        <v>404</v>
      </c>
      <c r="J5" s="353"/>
      <c r="K5" s="354"/>
    </row>
    <row r="6" spans="1:11" ht="15">
      <c r="A6" s="355" t="s">
        <v>437</v>
      </c>
      <c r="B6" s="355"/>
      <c r="C6" s="355"/>
      <c r="D6" s="39"/>
      <c r="E6" s="40"/>
      <c r="F6" s="40"/>
      <c r="G6" s="40"/>
      <c r="H6" s="40"/>
      <c r="I6" s="40"/>
      <c r="J6" s="41"/>
      <c r="K6" s="129"/>
    </row>
    <row r="7" spans="1:11" ht="12.75">
      <c r="A7" s="42"/>
      <c r="B7" s="42"/>
      <c r="C7" s="42"/>
      <c r="D7" s="42"/>
      <c r="E7" s="43"/>
      <c r="F7" s="43"/>
      <c r="G7" s="43"/>
      <c r="H7" s="43"/>
      <c r="I7" s="43"/>
      <c r="J7" s="37"/>
      <c r="K7" s="138" t="s">
        <v>91</v>
      </c>
    </row>
    <row r="8" spans="1:11" ht="32.25" customHeight="1">
      <c r="A8" s="360" t="s">
        <v>92</v>
      </c>
      <c r="B8" s="360" t="s">
        <v>97</v>
      </c>
      <c r="C8" s="366" t="s">
        <v>93</v>
      </c>
      <c r="D8" s="367"/>
      <c r="E8" s="367"/>
      <c r="F8" s="367"/>
      <c r="G8" s="368"/>
      <c r="H8" s="366" t="s">
        <v>94</v>
      </c>
      <c r="I8" s="370"/>
      <c r="J8" s="360" t="s">
        <v>95</v>
      </c>
      <c r="K8" s="360" t="s">
        <v>96</v>
      </c>
    </row>
    <row r="9" spans="1:11" ht="12.75" customHeight="1">
      <c r="A9" s="361"/>
      <c r="B9" s="365"/>
      <c r="C9" s="372" t="s">
        <v>98</v>
      </c>
      <c r="D9" s="360" t="s">
        <v>99</v>
      </c>
      <c r="E9" s="366" t="s">
        <v>100</v>
      </c>
      <c r="F9" s="371"/>
      <c r="G9" s="370"/>
      <c r="H9" s="360" t="s">
        <v>101</v>
      </c>
      <c r="I9" s="360" t="s">
        <v>102</v>
      </c>
      <c r="J9" s="361"/>
      <c r="K9" s="361"/>
    </row>
    <row r="10" spans="1:11" ht="60" customHeight="1">
      <c r="A10" s="362"/>
      <c r="B10" s="362"/>
      <c r="C10" s="373"/>
      <c r="D10" s="362"/>
      <c r="E10" s="130" t="s">
        <v>57</v>
      </c>
      <c r="F10" s="130" t="s">
        <v>103</v>
      </c>
      <c r="G10" s="130" t="s">
        <v>21</v>
      </c>
      <c r="H10" s="364"/>
      <c r="I10" s="364"/>
      <c r="J10" s="364"/>
      <c r="K10" s="364"/>
    </row>
    <row r="11" spans="1:11" s="81" customFormat="1" ht="12.75">
      <c r="A11" s="131" t="s">
        <v>7</v>
      </c>
      <c r="B11" s="131">
        <v>1</v>
      </c>
      <c r="C11" s="131">
        <v>2</v>
      </c>
      <c r="D11" s="131">
        <v>3</v>
      </c>
      <c r="E11" s="131">
        <v>4</v>
      </c>
      <c r="F11" s="131">
        <v>5</v>
      </c>
      <c r="G11" s="131">
        <v>6</v>
      </c>
      <c r="H11" s="131">
        <v>7</v>
      </c>
      <c r="I11" s="131">
        <v>8</v>
      </c>
      <c r="J11" s="131">
        <v>9</v>
      </c>
      <c r="K11" s="131">
        <v>10</v>
      </c>
    </row>
    <row r="12" spans="1:11" ht="25.5">
      <c r="A12" s="132" t="s">
        <v>104</v>
      </c>
      <c r="B12" s="204">
        <v>805951</v>
      </c>
      <c r="C12" s="204"/>
      <c r="D12" s="204">
        <v>581622</v>
      </c>
      <c r="E12" s="204">
        <v>321185</v>
      </c>
      <c r="F12" s="204">
        <v>113772.4</v>
      </c>
      <c r="G12" s="204">
        <v>106719</v>
      </c>
      <c r="H12" s="204">
        <f>525149.01+11304.53</f>
        <v>536453.54</v>
      </c>
      <c r="I12" s="204"/>
      <c r="J12" s="204"/>
      <c r="K12" s="211">
        <f>SUM(B12:J12)</f>
        <v>2465702.94</v>
      </c>
    </row>
    <row r="13" spans="1:11" ht="25.5">
      <c r="A13" s="132" t="s">
        <v>105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5"/>
    </row>
    <row r="14" spans="1:11" ht="25.5">
      <c r="A14" s="136" t="s">
        <v>106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1" ht="12.75">
      <c r="A15" s="136" t="s">
        <v>107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5"/>
    </row>
    <row r="16" spans="1:11" ht="25.5">
      <c r="A16" s="132" t="s">
        <v>108</v>
      </c>
      <c r="B16" s="204">
        <f>B12</f>
        <v>805951</v>
      </c>
      <c r="C16" s="204">
        <f aca="true" t="shared" si="0" ref="C16:K16">C12</f>
        <v>0</v>
      </c>
      <c r="D16" s="204">
        <f t="shared" si="0"/>
        <v>581622</v>
      </c>
      <c r="E16" s="204">
        <f t="shared" si="0"/>
        <v>321185</v>
      </c>
      <c r="F16" s="204">
        <f t="shared" si="0"/>
        <v>113772.4</v>
      </c>
      <c r="G16" s="204">
        <f t="shared" si="0"/>
        <v>106719</v>
      </c>
      <c r="H16" s="204">
        <f t="shared" si="0"/>
        <v>536453.54</v>
      </c>
      <c r="I16" s="204">
        <f t="shared" si="0"/>
        <v>0</v>
      </c>
      <c r="J16" s="204">
        <f t="shared" si="0"/>
        <v>0</v>
      </c>
      <c r="K16" s="204">
        <f t="shared" si="0"/>
        <v>2465702.94</v>
      </c>
    </row>
    <row r="17" spans="1:11" ht="25.5">
      <c r="A17" s="132" t="s">
        <v>109</v>
      </c>
      <c r="B17" s="133"/>
      <c r="C17" s="133"/>
      <c r="D17" s="133"/>
      <c r="E17" s="133"/>
      <c r="F17" s="133"/>
      <c r="G17" s="133"/>
      <c r="H17" s="133"/>
      <c r="I17" s="133"/>
      <c r="J17" s="133"/>
      <c r="K17" s="211">
        <f>K13</f>
        <v>0</v>
      </c>
    </row>
    <row r="18" spans="1:11" ht="12.75">
      <c r="A18" s="136" t="s">
        <v>110</v>
      </c>
      <c r="B18" s="133"/>
      <c r="C18" s="133"/>
      <c r="D18" s="133"/>
      <c r="E18" s="133"/>
      <c r="F18" s="133"/>
      <c r="G18" s="133"/>
      <c r="H18" s="133"/>
      <c r="I18" s="133"/>
      <c r="J18" s="133"/>
      <c r="K18" s="211">
        <f>K14</f>
        <v>0</v>
      </c>
    </row>
    <row r="19" spans="1:11" ht="12.75">
      <c r="A19" s="136" t="s">
        <v>111</v>
      </c>
      <c r="B19" s="133"/>
      <c r="C19" s="133"/>
      <c r="D19" s="133"/>
      <c r="E19" s="133"/>
      <c r="F19" s="133"/>
      <c r="G19" s="133"/>
      <c r="H19" s="133"/>
      <c r="I19" s="133"/>
      <c r="J19" s="133"/>
      <c r="K19" s="211">
        <f>K15</f>
        <v>0</v>
      </c>
    </row>
    <row r="20" spans="1:11" ht="25.5">
      <c r="A20" s="132" t="s">
        <v>112</v>
      </c>
      <c r="B20" s="281"/>
      <c r="C20" s="281"/>
      <c r="D20" s="282">
        <f>D21+D24+D25+D28+D31+D32</f>
        <v>-64259.119999999995</v>
      </c>
      <c r="E20" s="282">
        <f>E21+E24+E25+E28+E31+E32</f>
        <v>-240590.11</v>
      </c>
      <c r="F20" s="282">
        <f>F21+F24+F25+F28+F31+F32</f>
        <v>0</v>
      </c>
      <c r="G20" s="282">
        <f>G21+G24+G25+G28+G31+G32</f>
        <v>777043.65</v>
      </c>
      <c r="H20" s="282">
        <f>SUM(H21,H28,H32)</f>
        <v>-248738.30000000002</v>
      </c>
      <c r="I20" s="204"/>
      <c r="J20" s="281"/>
      <c r="K20" s="211">
        <f>SUM(B20:J20)</f>
        <v>223456.12000000002</v>
      </c>
    </row>
    <row r="21" spans="1:11" ht="25.5">
      <c r="A21" s="136" t="s">
        <v>113</v>
      </c>
      <c r="B21" s="283"/>
      <c r="C21" s="283"/>
      <c r="D21" s="283"/>
      <c r="E21" s="283"/>
      <c r="F21" s="283"/>
      <c r="G21" s="284">
        <f>G22+G23</f>
        <v>536453.54</v>
      </c>
      <c r="H21" s="284">
        <f>H22+H23</f>
        <v>-536453.54</v>
      </c>
      <c r="I21" s="283"/>
      <c r="J21" s="283"/>
      <c r="K21" s="211">
        <f>K17</f>
        <v>0</v>
      </c>
    </row>
    <row r="22" spans="1:11" ht="12.75">
      <c r="A22" s="136" t="s">
        <v>114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11">
        <f>K18</f>
        <v>0</v>
      </c>
    </row>
    <row r="23" spans="1:11" ht="12.75">
      <c r="A23" s="259" t="s">
        <v>115</v>
      </c>
      <c r="B23" s="281"/>
      <c r="C23" s="281"/>
      <c r="D23" s="281"/>
      <c r="E23" s="281"/>
      <c r="F23" s="281"/>
      <c r="G23" s="204">
        <f>525149.01+11304.53</f>
        <v>536453.54</v>
      </c>
      <c r="H23" s="204">
        <f>-G23</f>
        <v>-536453.54</v>
      </c>
      <c r="I23" s="204"/>
      <c r="J23" s="281"/>
      <c r="K23" s="211">
        <f>SUM(B23:J23)</f>
        <v>0</v>
      </c>
    </row>
    <row r="24" spans="1:11" ht="12.75">
      <c r="A24" s="136" t="s">
        <v>116</v>
      </c>
      <c r="B24" s="281"/>
      <c r="C24" s="281"/>
      <c r="D24" s="281"/>
      <c r="E24" s="281"/>
      <c r="F24" s="281"/>
      <c r="G24" s="204"/>
      <c r="H24" s="204"/>
      <c r="I24" s="204"/>
      <c r="J24" s="281"/>
      <c r="K24" s="211">
        <f>SUM(B24:J24)</f>
        <v>0</v>
      </c>
    </row>
    <row r="25" spans="1:11" ht="38.25">
      <c r="A25" s="136" t="s">
        <v>117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11">
        <f>K21</f>
        <v>0</v>
      </c>
    </row>
    <row r="26" spans="1:11" ht="12.75">
      <c r="A26" s="136" t="s">
        <v>118</v>
      </c>
      <c r="B26" s="281"/>
      <c r="C26" s="281"/>
      <c r="D26" s="281"/>
      <c r="E26" s="281"/>
      <c r="F26" s="281"/>
      <c r="G26" s="281"/>
      <c r="H26" s="281"/>
      <c r="I26" s="281"/>
      <c r="J26" s="281"/>
      <c r="K26" s="211">
        <f>K22</f>
        <v>0</v>
      </c>
    </row>
    <row r="27" spans="1:11" ht="12.75">
      <c r="A27" s="136" t="s">
        <v>119</v>
      </c>
      <c r="B27" s="281"/>
      <c r="C27" s="281"/>
      <c r="D27" s="281"/>
      <c r="E27" s="281"/>
      <c r="F27" s="281"/>
      <c r="G27" s="281"/>
      <c r="H27" s="281"/>
      <c r="I27" s="281"/>
      <c r="J27" s="281"/>
      <c r="K27" s="211">
        <f>K23</f>
        <v>0</v>
      </c>
    </row>
    <row r="28" spans="1:11" ht="38.25">
      <c r="A28" s="136" t="s">
        <v>120</v>
      </c>
      <c r="B28" s="283"/>
      <c r="C28" s="283"/>
      <c r="D28" s="285">
        <f>D29-D30</f>
        <v>-64259.119999999995</v>
      </c>
      <c r="E28" s="204"/>
      <c r="F28" s="283"/>
      <c r="G28" s="283"/>
      <c r="H28" s="204">
        <f>H29-H30</f>
        <v>403615.39</v>
      </c>
      <c r="I28" s="283"/>
      <c r="J28" s="283"/>
      <c r="K28" s="211">
        <f>SUM(B28:J28)</f>
        <v>339356.27</v>
      </c>
    </row>
    <row r="29" spans="1:11" ht="12.75">
      <c r="A29" s="136" t="s">
        <v>118</v>
      </c>
      <c r="B29" s="281"/>
      <c r="C29" s="281"/>
      <c r="D29" s="281">
        <f>873604.89+44484.35</f>
        <v>918089.24</v>
      </c>
      <c r="E29" s="281"/>
      <c r="F29" s="281"/>
      <c r="G29" s="281"/>
      <c r="H29" s="282">
        <f>461919.94</f>
        <v>461919.94</v>
      </c>
      <c r="I29" s="281"/>
      <c r="J29" s="281"/>
      <c r="K29" s="211">
        <f>SUM(B29:J29)</f>
        <v>1380009.18</v>
      </c>
    </row>
    <row r="30" spans="1:11" ht="12.75">
      <c r="A30" s="136" t="s">
        <v>119</v>
      </c>
      <c r="B30" s="281"/>
      <c r="C30" s="281"/>
      <c r="D30" s="281">
        <f>713944.86+268403.5</f>
        <v>982348.36</v>
      </c>
      <c r="E30" s="281"/>
      <c r="F30" s="281"/>
      <c r="G30" s="281"/>
      <c r="H30" s="282">
        <f>58304.55</f>
        <v>58304.55</v>
      </c>
      <c r="I30" s="281"/>
      <c r="J30" s="281"/>
      <c r="K30" s="211">
        <f>SUM(B30:J30)</f>
        <v>1040652.91</v>
      </c>
    </row>
    <row r="31" spans="1:11" ht="12.75">
      <c r="A31" s="136" t="s">
        <v>121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11">
        <f>K27</f>
        <v>0</v>
      </c>
    </row>
    <row r="32" spans="1:11" ht="12.75">
      <c r="A32" s="136" t="s">
        <v>122</v>
      </c>
      <c r="B32" s="281"/>
      <c r="C32" s="281"/>
      <c r="D32" s="282"/>
      <c r="E32" s="204">
        <v>-240590.11</v>
      </c>
      <c r="F32" s="281"/>
      <c r="G32" s="282">
        <v>240590.11</v>
      </c>
      <c r="H32" s="204">
        <f>38728.97+7125.18+33069.54+0.03-125251.36-4.92-67604.15-1963.44</f>
        <v>-115900.15</v>
      </c>
      <c r="I32" s="281"/>
      <c r="J32" s="281"/>
      <c r="K32" s="211">
        <f>SUM(B32:J32)</f>
        <v>-115900.15</v>
      </c>
    </row>
    <row r="33" spans="1:11" ht="25.5">
      <c r="A33" s="132" t="s">
        <v>123</v>
      </c>
      <c r="B33" s="204">
        <f>B16</f>
        <v>805951</v>
      </c>
      <c r="C33" s="204">
        <f>C16</f>
        <v>0</v>
      </c>
      <c r="D33" s="204">
        <f>D16+D20</f>
        <v>517362.88</v>
      </c>
      <c r="E33" s="204">
        <f>E16+E20</f>
        <v>80594.89000000001</v>
      </c>
      <c r="F33" s="204">
        <f>F16</f>
        <v>113772.4</v>
      </c>
      <c r="G33" s="204">
        <f>G16+G20</f>
        <v>883762.65</v>
      </c>
      <c r="H33" s="204">
        <f>H16+H24+H20</f>
        <v>287715.24</v>
      </c>
      <c r="I33" s="204">
        <f>I16+I20+I24</f>
        <v>0</v>
      </c>
      <c r="J33" s="204">
        <f>J16</f>
        <v>0</v>
      </c>
      <c r="K33" s="211">
        <f>SUM(B33:J33)</f>
        <v>2689159.0599999996</v>
      </c>
    </row>
    <row r="34" spans="1:11" ht="38.25">
      <c r="A34" s="136" t="s">
        <v>124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5"/>
    </row>
    <row r="35" spans="1:11" ht="39" customHeight="1">
      <c r="A35" s="212" t="s">
        <v>125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5"/>
    </row>
    <row r="36" spans="1:11" ht="25.5">
      <c r="A36" s="137" t="s">
        <v>126</v>
      </c>
      <c r="B36" s="204">
        <f>B33</f>
        <v>805951</v>
      </c>
      <c r="C36" s="204">
        <f aca="true" t="shared" si="1" ref="C36:J36">C33</f>
        <v>0</v>
      </c>
      <c r="D36" s="204">
        <f t="shared" si="1"/>
        <v>517362.88</v>
      </c>
      <c r="E36" s="204">
        <f t="shared" si="1"/>
        <v>80594.89000000001</v>
      </c>
      <c r="F36" s="204">
        <f t="shared" si="1"/>
        <v>113772.4</v>
      </c>
      <c r="G36" s="204">
        <f t="shared" si="1"/>
        <v>883762.65</v>
      </c>
      <c r="H36" s="204">
        <f t="shared" si="1"/>
        <v>287715.24</v>
      </c>
      <c r="I36" s="204">
        <f t="shared" si="1"/>
        <v>0</v>
      </c>
      <c r="J36" s="204">
        <f t="shared" si="1"/>
        <v>0</v>
      </c>
      <c r="K36" s="211">
        <f>SUM(B36:J36)</f>
        <v>2689159.0599999996</v>
      </c>
    </row>
    <row r="37" spans="1:11" ht="12.75">
      <c r="A37" s="247"/>
      <c r="B37" s="248"/>
      <c r="C37" s="248"/>
      <c r="D37" s="248"/>
      <c r="E37" s="248"/>
      <c r="F37" s="248"/>
      <c r="G37" s="248"/>
      <c r="H37" s="248"/>
      <c r="I37" s="248"/>
      <c r="J37" s="248"/>
      <c r="K37" s="249"/>
    </row>
    <row r="38" spans="1:11" ht="12.75">
      <c r="A38" s="247"/>
      <c r="B38" s="248"/>
      <c r="C38" s="248"/>
      <c r="D38" s="248"/>
      <c r="E38" s="248"/>
      <c r="F38" s="248"/>
      <c r="G38" s="248"/>
      <c r="H38" s="248"/>
      <c r="I38" s="248"/>
      <c r="J38" s="248"/>
      <c r="K38" s="249"/>
    </row>
    <row r="39" spans="1:11" ht="12.75">
      <c r="A39" s="247"/>
      <c r="B39" s="248"/>
      <c r="C39" s="248"/>
      <c r="D39" s="248"/>
      <c r="E39" s="248"/>
      <c r="F39" s="248"/>
      <c r="G39" s="248"/>
      <c r="H39" s="248"/>
      <c r="I39" s="248"/>
      <c r="J39" s="248"/>
      <c r="K39" s="249"/>
    </row>
    <row r="40" spans="1:11" ht="12.75">
      <c r="A40" s="247"/>
      <c r="B40" s="248"/>
      <c r="C40" s="248"/>
      <c r="D40" s="248"/>
      <c r="E40" s="248"/>
      <c r="F40" s="248"/>
      <c r="G40" s="248"/>
      <c r="H40" s="248"/>
      <c r="I40" s="248"/>
      <c r="J40" s="248"/>
      <c r="K40" s="249"/>
    </row>
    <row r="41" spans="1:11" ht="12.7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6"/>
    </row>
    <row r="42" spans="1:11" ht="12.7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6"/>
    </row>
    <row r="43" spans="1:11" ht="12.75">
      <c r="A43" s="8" t="s">
        <v>435</v>
      </c>
      <c r="B43" s="44"/>
      <c r="C43" s="44"/>
      <c r="D43" s="47"/>
      <c r="E43" s="363" t="s">
        <v>127</v>
      </c>
      <c r="F43" s="363"/>
      <c r="G43" s="363"/>
      <c r="H43" s="47"/>
      <c r="I43" s="363" t="s">
        <v>128</v>
      </c>
      <c r="J43" s="363"/>
      <c r="K43" s="363"/>
    </row>
  </sheetData>
  <mergeCells count="17">
    <mergeCell ref="A3:K3"/>
    <mergeCell ref="H8:I8"/>
    <mergeCell ref="J8:J10"/>
    <mergeCell ref="K8:K10"/>
    <mergeCell ref="E9:G9"/>
    <mergeCell ref="H9:H10"/>
    <mergeCell ref="C9:C10"/>
    <mergeCell ref="I5:K5"/>
    <mergeCell ref="D9:D10"/>
    <mergeCell ref="A6:C6"/>
    <mergeCell ref="A5:C5"/>
    <mergeCell ref="A8:A10"/>
    <mergeCell ref="E43:G43"/>
    <mergeCell ref="I43:K43"/>
    <mergeCell ref="I9:I10"/>
    <mergeCell ref="B8:B10"/>
    <mergeCell ref="C8:G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4:J35 J12 B14:J15 G12 J20 B22:J24 B31:J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6:J27 B29:J30">
      <formula1>0</formula1>
      <formula2>9999999999999990</formula2>
    </dataValidation>
  </dataValidations>
  <printOptions/>
  <pageMargins left="0.75" right="0.75" top="0.73" bottom="0.8" header="0.5" footer="0.5"/>
  <pageSetup fitToHeight="1" fitToWidth="1" horizontalDpi="300" verticalDpi="300" orientation="portrait" scale="7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22"/>
  <sheetViews>
    <sheetView showZeros="0" workbookViewId="0" topLeftCell="A1">
      <selection activeCell="A35" sqref="A35"/>
    </sheetView>
  </sheetViews>
  <sheetFormatPr defaultColWidth="9.140625" defaultRowHeight="12.75"/>
  <cols>
    <col min="1" max="1" width="22.28125" style="144" bestFit="1" customWidth="1"/>
    <col min="2" max="2" width="9.421875" style="144" bestFit="1" customWidth="1"/>
    <col min="3" max="3" width="9.7109375" style="144" customWidth="1"/>
    <col min="4" max="4" width="8.00390625" style="144" bestFit="1" customWidth="1"/>
    <col min="5" max="5" width="21.421875" style="144" bestFit="1" customWidth="1"/>
    <col min="6" max="6" width="10.421875" style="144" bestFit="1" customWidth="1"/>
    <col min="7" max="7" width="10.00390625" style="144" bestFit="1" customWidth="1"/>
    <col min="8" max="8" width="24.57421875" style="144" bestFit="1" customWidth="1"/>
    <col min="9" max="9" width="7.421875" style="144" bestFit="1" customWidth="1"/>
    <col min="10" max="10" width="7.57421875" style="144" customWidth="1"/>
    <col min="11" max="11" width="24.7109375" style="144" bestFit="1" customWidth="1"/>
    <col min="12" max="12" width="8.00390625" style="144" customWidth="1"/>
    <col min="13" max="13" width="7.57421875" style="144" bestFit="1" customWidth="1"/>
    <col min="14" max="14" width="6.8515625" style="144" customWidth="1"/>
    <col min="15" max="15" width="8.57421875" style="144" bestFit="1" customWidth="1"/>
    <col min="16" max="16" width="9.57421875" style="144" bestFit="1" customWidth="1"/>
    <col min="17" max="16384" width="9.140625" style="144" customWidth="1"/>
  </cols>
  <sheetData>
    <row r="1" spans="13:15" ht="12.75">
      <c r="M1" s="358" t="s">
        <v>314</v>
      </c>
      <c r="N1" s="358"/>
      <c r="O1" s="358"/>
    </row>
    <row r="3" spans="1:16" ht="15">
      <c r="A3" s="80"/>
      <c r="B3" s="145"/>
      <c r="C3" s="145"/>
      <c r="D3" s="145"/>
      <c r="E3" s="145"/>
      <c r="F3" s="145"/>
      <c r="G3" s="191" t="s">
        <v>367</v>
      </c>
      <c r="H3" s="121"/>
      <c r="I3" s="145"/>
      <c r="J3" s="145"/>
      <c r="K3" s="145"/>
      <c r="L3" s="145"/>
      <c r="M3" s="145"/>
      <c r="N3" s="145"/>
      <c r="O3" s="145"/>
      <c r="P3" s="145"/>
    </row>
    <row r="4" spans="1:16" ht="14.25">
      <c r="A4" s="65"/>
      <c r="B4" s="65"/>
      <c r="C4" s="65"/>
      <c r="D4" s="65"/>
      <c r="E4" s="65"/>
      <c r="F4" s="393" t="s">
        <v>368</v>
      </c>
      <c r="G4" s="393"/>
      <c r="H4" s="393"/>
      <c r="I4" s="65"/>
      <c r="J4" s="65"/>
      <c r="K4" s="64"/>
      <c r="L4" s="64"/>
      <c r="M4" s="64"/>
      <c r="N4" s="64"/>
      <c r="O4" s="64"/>
      <c r="P4" s="64"/>
    </row>
    <row r="5" spans="1:16" ht="12">
      <c r="A5" s="65"/>
      <c r="B5" s="65"/>
      <c r="C5" s="65"/>
      <c r="D5" s="65"/>
      <c r="E5" s="65"/>
      <c r="F5" s="65"/>
      <c r="G5" s="65"/>
      <c r="H5" s="65"/>
      <c r="I5" s="65"/>
      <c r="J5" s="65"/>
      <c r="K5" s="64"/>
      <c r="L5" s="64"/>
      <c r="M5" s="64"/>
      <c r="N5" s="64"/>
      <c r="O5" s="64"/>
      <c r="P5" s="64"/>
    </row>
    <row r="6" spans="1:16" ht="12.75">
      <c r="A6" s="355" t="s">
        <v>373</v>
      </c>
      <c r="B6" s="391"/>
      <c r="C6" s="391"/>
      <c r="D6" s="391"/>
      <c r="E6" s="391"/>
      <c r="F6" s="67"/>
      <c r="G6" s="67"/>
      <c r="H6" s="67"/>
      <c r="I6" s="67"/>
      <c r="J6" s="67"/>
      <c r="K6" s="116"/>
      <c r="L6" s="392" t="s">
        <v>404</v>
      </c>
      <c r="M6" s="391"/>
      <c r="N6" s="391"/>
      <c r="O6" s="391"/>
      <c r="P6" s="391"/>
    </row>
    <row r="7" spans="1:16" ht="15" customHeight="1">
      <c r="A7" s="355" t="s">
        <v>437</v>
      </c>
      <c r="B7" s="355"/>
      <c r="C7" s="355"/>
      <c r="D7" s="254"/>
      <c r="E7" s="69"/>
      <c r="F7" s="69"/>
      <c r="G7" s="69"/>
      <c r="H7" s="69"/>
      <c r="I7" s="69"/>
      <c r="J7" s="69"/>
      <c r="K7" s="69"/>
      <c r="L7" s="69"/>
      <c r="M7" s="69"/>
      <c r="N7" s="69"/>
      <c r="O7" s="117"/>
      <c r="P7" s="117"/>
    </row>
    <row r="8" spans="1:16" ht="12.75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70"/>
      <c r="P8" s="183" t="s">
        <v>129</v>
      </c>
    </row>
    <row r="9" spans="1:16" s="146" customFormat="1" ht="12.75">
      <c r="A9" s="356" t="s">
        <v>92</v>
      </c>
      <c r="B9" s="157" t="s">
        <v>222</v>
      </c>
      <c r="C9" s="157"/>
      <c r="D9" s="157"/>
      <c r="E9" s="157"/>
      <c r="F9" s="157" t="s">
        <v>223</v>
      </c>
      <c r="G9" s="157"/>
      <c r="H9" s="356" t="s">
        <v>262</v>
      </c>
      <c r="I9" s="157" t="s">
        <v>263</v>
      </c>
      <c r="J9" s="157"/>
      <c r="K9" s="157"/>
      <c r="L9" s="157"/>
      <c r="M9" s="157" t="s">
        <v>223</v>
      </c>
      <c r="N9" s="157"/>
      <c r="O9" s="356" t="s">
        <v>224</v>
      </c>
      <c r="P9" s="356" t="s">
        <v>225</v>
      </c>
    </row>
    <row r="10" spans="1:16" s="146" customFormat="1" ht="51">
      <c r="A10" s="357"/>
      <c r="B10" s="158" t="s">
        <v>226</v>
      </c>
      <c r="C10" s="158" t="s">
        <v>227</v>
      </c>
      <c r="D10" s="158" t="s">
        <v>228</v>
      </c>
      <c r="E10" s="158" t="s">
        <v>229</v>
      </c>
      <c r="F10" s="158" t="s">
        <v>110</v>
      </c>
      <c r="G10" s="158" t="s">
        <v>111</v>
      </c>
      <c r="H10" s="357"/>
      <c r="I10" s="158" t="s">
        <v>226</v>
      </c>
      <c r="J10" s="158" t="s">
        <v>230</v>
      </c>
      <c r="K10" s="158" t="s">
        <v>231</v>
      </c>
      <c r="L10" s="158" t="s">
        <v>232</v>
      </c>
      <c r="M10" s="158" t="s">
        <v>110</v>
      </c>
      <c r="N10" s="158" t="s">
        <v>111</v>
      </c>
      <c r="O10" s="357"/>
      <c r="P10" s="357"/>
    </row>
    <row r="11" spans="1:16" s="146" customFormat="1" ht="12.75">
      <c r="A11" s="159" t="s">
        <v>7</v>
      </c>
      <c r="B11" s="158">
        <v>1</v>
      </c>
      <c r="C11" s="158">
        <v>2</v>
      </c>
      <c r="D11" s="158">
        <v>3</v>
      </c>
      <c r="E11" s="158">
        <v>4</v>
      </c>
      <c r="F11" s="158">
        <v>5</v>
      </c>
      <c r="G11" s="158">
        <v>6</v>
      </c>
      <c r="H11" s="158">
        <v>7</v>
      </c>
      <c r="I11" s="158">
        <v>8</v>
      </c>
      <c r="J11" s="158">
        <v>9</v>
      </c>
      <c r="K11" s="158">
        <v>10</v>
      </c>
      <c r="L11" s="158">
        <v>11</v>
      </c>
      <c r="M11" s="158">
        <v>12</v>
      </c>
      <c r="N11" s="158">
        <v>13</v>
      </c>
      <c r="O11" s="158">
        <v>14</v>
      </c>
      <c r="P11" s="158">
        <v>15</v>
      </c>
    </row>
    <row r="12" spans="1:49" ht="25.5">
      <c r="A12" s="160" t="s">
        <v>253</v>
      </c>
      <c r="B12" s="161"/>
      <c r="C12" s="161"/>
      <c r="D12" s="161"/>
      <c r="E12" s="162"/>
      <c r="F12" s="163"/>
      <c r="G12" s="163"/>
      <c r="H12" s="162"/>
      <c r="I12" s="163"/>
      <c r="J12" s="163"/>
      <c r="K12" s="163"/>
      <c r="L12" s="162"/>
      <c r="M12" s="163"/>
      <c r="N12" s="163"/>
      <c r="O12" s="162"/>
      <c r="P12" s="162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</row>
    <row r="13" spans="1:49" ht="25.5">
      <c r="A13" s="164" t="s">
        <v>48</v>
      </c>
      <c r="B13" s="208">
        <v>1219452.91</v>
      </c>
      <c r="C13" s="209">
        <f>1398+854175.48+199642</f>
        <v>1055215.48</v>
      </c>
      <c r="D13" s="209">
        <v>720058.6</v>
      </c>
      <c r="E13" s="209">
        <f>B13+C13-D13</f>
        <v>1554609.7899999996</v>
      </c>
      <c r="F13" s="278">
        <v>873604.89</v>
      </c>
      <c r="G13" s="278">
        <v>713944.86</v>
      </c>
      <c r="H13" s="209">
        <f>E13+F13-G13</f>
        <v>1714269.8199999998</v>
      </c>
      <c r="I13" s="165"/>
      <c r="J13" s="165"/>
      <c r="K13" s="165"/>
      <c r="L13" s="165"/>
      <c r="M13" s="165"/>
      <c r="N13" s="165"/>
      <c r="O13" s="165"/>
      <c r="P13" s="209">
        <f>H13-O13</f>
        <v>1714269.8199999998</v>
      </c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</row>
    <row r="14" spans="1:49" ht="25.5">
      <c r="A14" s="166" t="s">
        <v>264</v>
      </c>
      <c r="B14" s="167"/>
      <c r="C14" s="167"/>
      <c r="D14" s="167"/>
      <c r="E14" s="209"/>
      <c r="F14" s="168"/>
      <c r="G14" s="162"/>
      <c r="H14" s="209">
        <f>E14+F14-G14</f>
        <v>0</v>
      </c>
      <c r="I14" s="168"/>
      <c r="J14" s="168"/>
      <c r="K14" s="168"/>
      <c r="L14" s="168"/>
      <c r="M14" s="168"/>
      <c r="N14" s="168"/>
      <c r="O14" s="168"/>
      <c r="P14" s="209">
        <f>H14-O14</f>
        <v>0</v>
      </c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</row>
    <row r="15" spans="1:49" ht="12.75">
      <c r="A15" s="166" t="s">
        <v>233</v>
      </c>
      <c r="B15" s="169"/>
      <c r="C15" s="169"/>
      <c r="D15" s="169"/>
      <c r="E15" s="168"/>
      <c r="F15" s="170"/>
      <c r="G15" s="170"/>
      <c r="H15" s="168"/>
      <c r="I15" s="170"/>
      <c r="J15" s="170"/>
      <c r="K15" s="170"/>
      <c r="L15" s="168"/>
      <c r="M15" s="170"/>
      <c r="N15" s="170"/>
      <c r="O15" s="168"/>
      <c r="P15" s="16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</row>
    <row r="16" spans="1:49" ht="25.5">
      <c r="A16" s="171" t="s">
        <v>259</v>
      </c>
      <c r="B16" s="169"/>
      <c r="C16" s="167"/>
      <c r="D16" s="167"/>
      <c r="E16" s="209"/>
      <c r="F16" s="209"/>
      <c r="G16" s="168">
        <v>0</v>
      </c>
      <c r="H16" s="209">
        <f>E16+F16-G16</f>
        <v>0</v>
      </c>
      <c r="I16" s="170"/>
      <c r="J16" s="170"/>
      <c r="K16" s="170"/>
      <c r="L16" s="168"/>
      <c r="M16" s="170"/>
      <c r="N16" s="170"/>
      <c r="O16" s="168"/>
      <c r="P16" s="209">
        <f>H16-O16</f>
        <v>0</v>
      </c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</row>
    <row r="17" spans="1:49" ht="12.75">
      <c r="A17" s="166" t="s">
        <v>260</v>
      </c>
      <c r="B17" s="169"/>
      <c r="C17" s="169"/>
      <c r="D17" s="169"/>
      <c r="E17" s="168"/>
      <c r="F17" s="170"/>
      <c r="G17" s="170"/>
      <c r="H17" s="168"/>
      <c r="I17" s="170"/>
      <c r="J17" s="170"/>
      <c r="K17" s="170"/>
      <c r="L17" s="168"/>
      <c r="M17" s="170"/>
      <c r="N17" s="170"/>
      <c r="O17" s="168"/>
      <c r="P17" s="16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</row>
    <row r="18" spans="1:49" ht="12.75">
      <c r="A18" s="164" t="s">
        <v>23</v>
      </c>
      <c r="B18" s="169"/>
      <c r="C18" s="169"/>
      <c r="D18" s="169"/>
      <c r="E18" s="168"/>
      <c r="F18" s="170"/>
      <c r="G18" s="170"/>
      <c r="H18" s="168"/>
      <c r="I18" s="170"/>
      <c r="J18" s="170"/>
      <c r="K18" s="170"/>
      <c r="L18" s="168"/>
      <c r="M18" s="170"/>
      <c r="N18" s="170"/>
      <c r="O18" s="168"/>
      <c r="P18" s="16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</row>
    <row r="19" spans="1:49" ht="13.5">
      <c r="A19" s="172" t="s">
        <v>218</v>
      </c>
      <c r="B19" s="210">
        <f>SUM(B13,B14,B18)</f>
        <v>1219452.91</v>
      </c>
      <c r="C19" s="210">
        <f>SUM(C13,C14,C18)</f>
        <v>1055215.48</v>
      </c>
      <c r="D19" s="210">
        <f>SUM(D13,D14,D18)</f>
        <v>720058.6</v>
      </c>
      <c r="E19" s="210">
        <f>SUM(E13,E14,E18)</f>
        <v>1554609.7899999996</v>
      </c>
      <c r="F19" s="210">
        <f aca="true" t="shared" si="0" ref="F19:O19">SUM(F13,F14,F18)</f>
        <v>873604.89</v>
      </c>
      <c r="G19" s="210">
        <f t="shared" si="0"/>
        <v>713944.86</v>
      </c>
      <c r="H19" s="210">
        <f t="shared" si="0"/>
        <v>1714269.8199999998</v>
      </c>
      <c r="I19" s="210">
        <f t="shared" si="0"/>
        <v>0</v>
      </c>
      <c r="J19" s="210">
        <f t="shared" si="0"/>
        <v>0</v>
      </c>
      <c r="K19" s="210">
        <f t="shared" si="0"/>
        <v>0</v>
      </c>
      <c r="L19" s="210">
        <f t="shared" si="0"/>
        <v>0</v>
      </c>
      <c r="M19" s="210">
        <f t="shared" si="0"/>
        <v>0</v>
      </c>
      <c r="N19" s="210">
        <f t="shared" si="0"/>
        <v>0</v>
      </c>
      <c r="O19" s="210">
        <f t="shared" si="0"/>
        <v>0</v>
      </c>
      <c r="P19" s="210">
        <f>SUM(P13,P14,P18)</f>
        <v>1714269.8199999998</v>
      </c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</row>
    <row r="20" spans="1:49" s="151" customFormat="1" ht="25.5">
      <c r="A20" s="173" t="s">
        <v>254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</row>
    <row r="21" spans="1:49" s="151" customFormat="1" ht="12.75">
      <c r="A21" s="175" t="s">
        <v>255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</row>
    <row r="22" spans="1:49" s="151" customFormat="1" ht="12.75">
      <c r="A22" s="175" t="s">
        <v>256</v>
      </c>
      <c r="B22" s="208">
        <v>11196.37</v>
      </c>
      <c r="C22" s="208">
        <v>2888.01</v>
      </c>
      <c r="D22" s="208">
        <f>4820.64+1536.41</f>
        <v>6357.05</v>
      </c>
      <c r="E22" s="208">
        <f>B22+C22-D22</f>
        <v>7727.330000000001</v>
      </c>
      <c r="F22" s="208"/>
      <c r="G22" s="208"/>
      <c r="H22" s="208">
        <f>E22+F22-G22</f>
        <v>7727.330000000001</v>
      </c>
      <c r="I22" s="208">
        <v>8812.28</v>
      </c>
      <c r="J22" s="208">
        <v>1328.68</v>
      </c>
      <c r="K22" s="208">
        <v>5987.28</v>
      </c>
      <c r="L22" s="208">
        <f>I22+J22-K22</f>
        <v>4153.680000000001</v>
      </c>
      <c r="M22" s="208"/>
      <c r="N22" s="208"/>
      <c r="O22" s="208">
        <f>L22+M22-N22</f>
        <v>4153.680000000001</v>
      </c>
      <c r="P22" s="208">
        <f>H22-O22</f>
        <v>3573.6499999999996</v>
      </c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</row>
    <row r="23" spans="1:49" s="151" customFormat="1" ht="12.75">
      <c r="A23" s="258" t="s">
        <v>257</v>
      </c>
      <c r="B23" s="208">
        <v>43480.11</v>
      </c>
      <c r="C23" s="208"/>
      <c r="D23" s="208"/>
      <c r="E23" s="208">
        <f>B23+C23-D23</f>
        <v>43480.11</v>
      </c>
      <c r="F23" s="208"/>
      <c r="G23" s="208"/>
      <c r="H23" s="208">
        <f>E23+F23-G23</f>
        <v>43480.11</v>
      </c>
      <c r="I23" s="208">
        <v>41178.82</v>
      </c>
      <c r="J23" s="208">
        <v>2217.54</v>
      </c>
      <c r="K23" s="208"/>
      <c r="L23" s="208">
        <f>I23+J23-K23</f>
        <v>43396.36</v>
      </c>
      <c r="M23" s="208"/>
      <c r="N23" s="208"/>
      <c r="O23" s="208">
        <f>L23+M23-N23</f>
        <v>43396.36</v>
      </c>
      <c r="P23" s="208">
        <f>H23-O23</f>
        <v>83.75</v>
      </c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</row>
    <row r="24" spans="1:49" s="274" customFormat="1" ht="12.75">
      <c r="A24" s="175" t="s">
        <v>36</v>
      </c>
      <c r="B24" s="208">
        <v>10620.28</v>
      </c>
      <c r="C24" s="208">
        <v>577</v>
      </c>
      <c r="D24" s="208">
        <v>7512.76</v>
      </c>
      <c r="E24" s="208">
        <f>B24+C24-D24</f>
        <v>3684.5200000000004</v>
      </c>
      <c r="F24" s="208"/>
      <c r="G24" s="208"/>
      <c r="H24" s="208">
        <f>E24+F24-G24</f>
        <v>3684.5200000000004</v>
      </c>
      <c r="I24" s="208">
        <v>9264.91</v>
      </c>
      <c r="J24" s="208">
        <v>1110.27</v>
      </c>
      <c r="K24" s="208">
        <v>7419.2</v>
      </c>
      <c r="L24" s="208">
        <f>I24+J24-K24</f>
        <v>2955.9800000000005</v>
      </c>
      <c r="M24" s="208"/>
      <c r="N24" s="208"/>
      <c r="O24" s="208">
        <f>L24+M24-N24</f>
        <v>2955.9800000000005</v>
      </c>
      <c r="P24" s="208">
        <f>H24-O24</f>
        <v>728.54</v>
      </c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273"/>
      <c r="AU24" s="273"/>
      <c r="AV24" s="273"/>
      <c r="AW24" s="273"/>
    </row>
    <row r="25" spans="1:49" s="151" customFormat="1" ht="13.5">
      <c r="A25" s="172" t="s">
        <v>234</v>
      </c>
      <c r="B25" s="210">
        <f>SUM(B21:B24)</f>
        <v>65296.76</v>
      </c>
      <c r="C25" s="210">
        <f aca="true" t="shared" si="1" ref="C25:P25">SUM(C21:C24)</f>
        <v>3465.01</v>
      </c>
      <c r="D25" s="210">
        <f t="shared" si="1"/>
        <v>13869.810000000001</v>
      </c>
      <c r="E25" s="210">
        <f t="shared" si="1"/>
        <v>54891.96000000001</v>
      </c>
      <c r="F25" s="210">
        <f t="shared" si="1"/>
        <v>0</v>
      </c>
      <c r="G25" s="210">
        <f t="shared" si="1"/>
        <v>0</v>
      </c>
      <c r="H25" s="210">
        <f t="shared" si="1"/>
        <v>54891.96000000001</v>
      </c>
      <c r="I25" s="210">
        <f t="shared" si="1"/>
        <v>59256.009999999995</v>
      </c>
      <c r="J25" s="210">
        <f t="shared" si="1"/>
        <v>4656.49</v>
      </c>
      <c r="K25" s="210">
        <f t="shared" si="1"/>
        <v>13406.48</v>
      </c>
      <c r="L25" s="210">
        <f t="shared" si="1"/>
        <v>50506.020000000004</v>
      </c>
      <c r="M25" s="210">
        <f t="shared" si="1"/>
        <v>0</v>
      </c>
      <c r="N25" s="210">
        <f t="shared" si="1"/>
        <v>0</v>
      </c>
      <c r="O25" s="210">
        <f t="shared" si="1"/>
        <v>50506.020000000004</v>
      </c>
      <c r="P25" s="210">
        <f t="shared" si="1"/>
        <v>4385.94</v>
      </c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</row>
    <row r="26" spans="1:49" s="151" customFormat="1" ht="13.5">
      <c r="A26" s="173" t="s">
        <v>258</v>
      </c>
      <c r="B26" s="210">
        <f>1996.73+69084.61</f>
        <v>71081.34</v>
      </c>
      <c r="C26" s="210">
        <v>597</v>
      </c>
      <c r="D26" s="210"/>
      <c r="E26" s="275">
        <f>B26+C26-D26</f>
        <v>71678.34</v>
      </c>
      <c r="F26" s="210"/>
      <c r="G26" s="210"/>
      <c r="H26" s="210">
        <f>E26+F26-G26</f>
        <v>71678.34</v>
      </c>
      <c r="I26" s="210">
        <v>46409.98</v>
      </c>
      <c r="J26" s="210">
        <v>2540.08</v>
      </c>
      <c r="K26" s="210"/>
      <c r="L26" s="275">
        <f>I26+J26-K26</f>
        <v>48950.060000000005</v>
      </c>
      <c r="M26" s="210"/>
      <c r="N26" s="210"/>
      <c r="O26" s="210">
        <f>L26+M26-N26</f>
        <v>48950.060000000005</v>
      </c>
      <c r="P26" s="210">
        <f>E26-L26</f>
        <v>22728.27999999999</v>
      </c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</row>
    <row r="27" spans="1:49" s="151" customFormat="1" ht="12.75">
      <c r="A27" s="175"/>
      <c r="B27" s="170"/>
      <c r="C27" s="170"/>
      <c r="D27" s="170"/>
      <c r="E27" s="174"/>
      <c r="F27" s="170"/>
      <c r="G27" s="170"/>
      <c r="H27" s="174"/>
      <c r="I27" s="170"/>
      <c r="J27" s="170"/>
      <c r="K27" s="170"/>
      <c r="L27" s="174"/>
      <c r="M27" s="170"/>
      <c r="N27" s="170"/>
      <c r="O27" s="174"/>
      <c r="P27" s="174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</row>
    <row r="28" spans="1:49" ht="13.5">
      <c r="A28" s="176" t="s">
        <v>235</v>
      </c>
      <c r="B28" s="210">
        <f>SUM(B26,B25,B19)</f>
        <v>1355831.01</v>
      </c>
      <c r="C28" s="210">
        <f aca="true" t="shared" si="2" ref="C28:O28">SUM(C26,C25,C19)</f>
        <v>1059277.49</v>
      </c>
      <c r="D28" s="210">
        <f t="shared" si="2"/>
        <v>733928.41</v>
      </c>
      <c r="E28" s="210">
        <f t="shared" si="2"/>
        <v>1681180.0899999996</v>
      </c>
      <c r="F28" s="210">
        <f t="shared" si="2"/>
        <v>873604.89</v>
      </c>
      <c r="G28" s="210">
        <f t="shared" si="2"/>
        <v>713944.86</v>
      </c>
      <c r="H28" s="210">
        <f t="shared" si="2"/>
        <v>1840840.1199999999</v>
      </c>
      <c r="I28" s="210">
        <f t="shared" si="2"/>
        <v>105665.98999999999</v>
      </c>
      <c r="J28" s="210">
        <f t="shared" si="2"/>
        <v>7196.57</v>
      </c>
      <c r="K28" s="210">
        <f t="shared" si="2"/>
        <v>13406.48</v>
      </c>
      <c r="L28" s="210">
        <f t="shared" si="2"/>
        <v>99456.08000000002</v>
      </c>
      <c r="M28" s="210">
        <f t="shared" si="2"/>
        <v>0</v>
      </c>
      <c r="N28" s="210">
        <f t="shared" si="2"/>
        <v>0</v>
      </c>
      <c r="O28" s="210">
        <f t="shared" si="2"/>
        <v>99456.08000000002</v>
      </c>
      <c r="P28" s="210">
        <f>SUM(P26,P25,P19)-1</f>
        <v>1741383.0399999998</v>
      </c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</row>
    <row r="29" spans="1:49" ht="13.5">
      <c r="A29" s="245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</row>
    <row r="30" spans="1:49" ht="13.5">
      <c r="A30" s="245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</row>
    <row r="31" spans="1:49" ht="13.5">
      <c r="A31" s="245"/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</row>
    <row r="32" spans="1:49" ht="13.5">
      <c r="A32" s="245"/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</row>
    <row r="33" spans="1:49" ht="12">
      <c r="A33" s="246"/>
      <c r="B33" s="71"/>
      <c r="C33" s="71"/>
      <c r="D33" s="71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</row>
    <row r="34" spans="1:49" s="182" customFormat="1" ht="12.75">
      <c r="A34" s="8" t="s">
        <v>469</v>
      </c>
      <c r="B34" s="177"/>
      <c r="C34" s="177"/>
      <c r="D34" s="177"/>
      <c r="E34" s="178" t="s">
        <v>261</v>
      </c>
      <c r="F34" s="178"/>
      <c r="G34" s="178"/>
      <c r="H34" s="178"/>
      <c r="I34" s="178"/>
      <c r="J34" s="178"/>
      <c r="K34" s="178" t="s">
        <v>252</v>
      </c>
      <c r="L34" s="179"/>
      <c r="M34" s="179"/>
      <c r="N34" s="180"/>
      <c r="O34" s="180"/>
      <c r="P34" s="180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</row>
    <row r="35" spans="1:49" ht="12">
      <c r="A35" s="64"/>
      <c r="B35" s="152"/>
      <c r="C35" s="152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</row>
    <row r="36" spans="1:49" ht="12">
      <c r="A36" s="154"/>
      <c r="B36" s="152"/>
      <c r="C36" s="152"/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</row>
    <row r="37" spans="1:49" ht="12">
      <c r="A37" s="66"/>
      <c r="B37" s="152"/>
      <c r="C37" s="152"/>
      <c r="D37" s="152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</row>
    <row r="38" spans="1:49" ht="12">
      <c r="A38" s="64"/>
      <c r="B38" s="152"/>
      <c r="C38" s="152"/>
      <c r="D38" s="152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</row>
    <row r="39" spans="1:49" ht="12">
      <c r="A39" s="64"/>
      <c r="B39" s="152"/>
      <c r="C39" s="152"/>
      <c r="D39" s="152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</row>
    <row r="40" spans="1:49" ht="12">
      <c r="A40" s="64"/>
      <c r="B40" s="152"/>
      <c r="C40" s="152"/>
      <c r="D40" s="152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</row>
    <row r="41" spans="2:49" ht="12">
      <c r="B41" s="155"/>
      <c r="C41" s="155"/>
      <c r="D41" s="155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</row>
    <row r="42" spans="2:49" ht="12">
      <c r="B42" s="155"/>
      <c r="C42" s="155"/>
      <c r="D42" s="155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</row>
    <row r="43" spans="2:49" ht="12">
      <c r="B43" s="155"/>
      <c r="C43" s="155"/>
      <c r="D43" s="155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</row>
    <row r="44" spans="2:49" ht="12">
      <c r="B44" s="155"/>
      <c r="C44" s="155"/>
      <c r="D44" s="155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</row>
    <row r="45" spans="2:49" ht="12">
      <c r="B45" s="155"/>
      <c r="C45" s="155"/>
      <c r="D45" s="155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</row>
    <row r="46" spans="2:49" ht="12">
      <c r="B46" s="155"/>
      <c r="C46" s="155"/>
      <c r="D46" s="155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</row>
    <row r="47" spans="2:49" ht="12">
      <c r="B47" s="155"/>
      <c r="C47" s="155"/>
      <c r="D47" s="155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</row>
    <row r="48" spans="2:49" ht="12">
      <c r="B48" s="155"/>
      <c r="C48" s="155"/>
      <c r="D48" s="155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</row>
    <row r="49" spans="2:49" ht="12">
      <c r="B49" s="155"/>
      <c r="C49" s="155"/>
      <c r="D49" s="155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</row>
    <row r="50" spans="2:49" ht="12">
      <c r="B50" s="155"/>
      <c r="C50" s="155"/>
      <c r="D50" s="155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</row>
    <row r="51" spans="2:49" ht="12">
      <c r="B51" s="155"/>
      <c r="C51" s="155"/>
      <c r="D51" s="155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</row>
    <row r="52" spans="2:49" ht="12">
      <c r="B52" s="155"/>
      <c r="C52" s="155"/>
      <c r="D52" s="155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</row>
    <row r="53" spans="2:49" ht="12">
      <c r="B53" s="155"/>
      <c r="C53" s="155"/>
      <c r="D53" s="155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</row>
    <row r="54" spans="2:49" ht="12">
      <c r="B54" s="155"/>
      <c r="C54" s="155"/>
      <c r="D54" s="155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</row>
    <row r="55" spans="2:49" ht="12">
      <c r="B55" s="155"/>
      <c r="C55" s="155"/>
      <c r="D55" s="155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</row>
    <row r="56" spans="2:49" ht="12">
      <c r="B56" s="155"/>
      <c r="C56" s="155"/>
      <c r="D56" s="155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</row>
    <row r="57" spans="2:49" ht="12">
      <c r="B57" s="155"/>
      <c r="C57" s="155"/>
      <c r="D57" s="155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</row>
    <row r="58" spans="2:49" ht="12">
      <c r="B58" s="147"/>
      <c r="C58" s="155"/>
      <c r="D58" s="155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</row>
    <row r="59" spans="2:49" ht="12">
      <c r="B59" s="147"/>
      <c r="C59" s="155"/>
      <c r="D59" s="155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</row>
    <row r="60" spans="2:49" ht="12">
      <c r="B60" s="147"/>
      <c r="C60" s="155"/>
      <c r="D60" s="155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</row>
    <row r="61" spans="2:49" ht="12">
      <c r="B61" s="147"/>
      <c r="C61" s="155"/>
      <c r="D61" s="155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</row>
    <row r="62" spans="3:4" ht="12">
      <c r="C62" s="156"/>
      <c r="D62" s="156"/>
    </row>
    <row r="63" spans="3:4" ht="12">
      <c r="C63" s="156"/>
      <c r="D63" s="156"/>
    </row>
    <row r="64" spans="3:4" ht="12">
      <c r="C64" s="156"/>
      <c r="D64" s="156"/>
    </row>
    <row r="65" spans="3:4" ht="12">
      <c r="C65" s="156"/>
      <c r="D65" s="156"/>
    </row>
    <row r="66" spans="3:4" ht="12">
      <c r="C66" s="156"/>
      <c r="D66" s="156"/>
    </row>
    <row r="67" spans="3:4" ht="12">
      <c r="C67" s="156"/>
      <c r="D67" s="156"/>
    </row>
    <row r="68" spans="3:4" ht="12">
      <c r="C68" s="156"/>
      <c r="D68" s="156"/>
    </row>
    <row r="69" spans="3:4" ht="12">
      <c r="C69" s="156"/>
      <c r="D69" s="156"/>
    </row>
    <row r="70" spans="3:4" ht="12">
      <c r="C70" s="156"/>
      <c r="D70" s="156"/>
    </row>
    <row r="71" spans="3:4" ht="12">
      <c r="C71" s="156"/>
      <c r="D71" s="156"/>
    </row>
    <row r="72" spans="3:4" ht="12">
      <c r="C72" s="156"/>
      <c r="D72" s="156"/>
    </row>
    <row r="73" spans="3:4" ht="12">
      <c r="C73" s="156"/>
      <c r="D73" s="156"/>
    </row>
    <row r="74" spans="3:4" ht="12">
      <c r="C74" s="156"/>
      <c r="D74" s="156"/>
    </row>
    <row r="75" spans="3:4" ht="12">
      <c r="C75" s="156"/>
      <c r="D75" s="156"/>
    </row>
    <row r="76" spans="3:4" ht="12">
      <c r="C76" s="156"/>
      <c r="D76" s="156"/>
    </row>
    <row r="77" spans="3:4" ht="12">
      <c r="C77" s="156"/>
      <c r="D77" s="156"/>
    </row>
    <row r="78" spans="3:4" ht="12">
      <c r="C78" s="156"/>
      <c r="D78" s="156"/>
    </row>
    <row r="79" spans="3:4" ht="12">
      <c r="C79" s="156"/>
      <c r="D79" s="156"/>
    </row>
    <row r="80" spans="3:4" ht="12">
      <c r="C80" s="156"/>
      <c r="D80" s="156"/>
    </row>
    <row r="81" spans="3:4" ht="12">
      <c r="C81" s="156"/>
      <c r="D81" s="156"/>
    </row>
    <row r="82" spans="3:4" ht="12">
      <c r="C82" s="156"/>
      <c r="D82" s="156"/>
    </row>
    <row r="83" spans="3:4" ht="12">
      <c r="C83" s="156"/>
      <c r="D83" s="156"/>
    </row>
    <row r="84" spans="3:4" ht="12">
      <c r="C84" s="156"/>
      <c r="D84" s="156"/>
    </row>
    <row r="85" spans="3:4" ht="12">
      <c r="C85" s="156"/>
      <c r="D85" s="156"/>
    </row>
    <row r="86" spans="3:4" ht="12">
      <c r="C86" s="156"/>
      <c r="D86" s="156"/>
    </row>
    <row r="87" spans="3:4" ht="12">
      <c r="C87" s="156"/>
      <c r="D87" s="156"/>
    </row>
    <row r="88" spans="3:4" ht="12">
      <c r="C88" s="156"/>
      <c r="D88" s="156"/>
    </row>
    <row r="89" spans="3:4" ht="12">
      <c r="C89" s="156"/>
      <c r="D89" s="156"/>
    </row>
    <row r="90" spans="3:4" ht="12">
      <c r="C90" s="156"/>
      <c r="D90" s="156"/>
    </row>
    <row r="91" spans="3:4" ht="12">
      <c r="C91" s="156"/>
      <c r="D91" s="156"/>
    </row>
    <row r="92" spans="3:4" ht="12">
      <c r="C92" s="156"/>
      <c r="D92" s="156"/>
    </row>
    <row r="93" spans="3:4" ht="12">
      <c r="C93" s="156"/>
      <c r="D93" s="156"/>
    </row>
    <row r="94" spans="3:4" ht="12">
      <c r="C94" s="156"/>
      <c r="D94" s="156"/>
    </row>
    <row r="95" spans="3:4" ht="12">
      <c r="C95" s="156"/>
      <c r="D95" s="156"/>
    </row>
    <row r="96" spans="3:4" ht="12">
      <c r="C96" s="156"/>
      <c r="D96" s="156"/>
    </row>
    <row r="97" spans="3:4" ht="12">
      <c r="C97" s="156"/>
      <c r="D97" s="156"/>
    </row>
    <row r="98" spans="3:4" ht="12">
      <c r="C98" s="156"/>
      <c r="D98" s="156"/>
    </row>
    <row r="99" spans="3:4" ht="12">
      <c r="C99" s="156"/>
      <c r="D99" s="156"/>
    </row>
    <row r="100" spans="3:4" ht="12">
      <c r="C100" s="156"/>
      <c r="D100" s="156"/>
    </row>
    <row r="101" spans="3:4" ht="12">
      <c r="C101" s="156"/>
      <c r="D101" s="156"/>
    </row>
    <row r="102" spans="3:4" ht="12">
      <c r="C102" s="156"/>
      <c r="D102" s="156"/>
    </row>
    <row r="103" spans="3:4" ht="12">
      <c r="C103" s="156"/>
      <c r="D103" s="156"/>
    </row>
    <row r="104" spans="3:4" ht="12">
      <c r="C104" s="156"/>
      <c r="D104" s="156"/>
    </row>
    <row r="105" spans="3:4" ht="12">
      <c r="C105" s="156"/>
      <c r="D105" s="156"/>
    </row>
    <row r="106" spans="3:4" ht="12">
      <c r="C106" s="156"/>
      <c r="D106" s="156"/>
    </row>
    <row r="107" spans="3:4" ht="12">
      <c r="C107" s="156"/>
      <c r="D107" s="156"/>
    </row>
    <row r="108" spans="3:4" ht="12">
      <c r="C108" s="156"/>
      <c r="D108" s="156"/>
    </row>
    <row r="109" spans="3:4" ht="12">
      <c r="C109" s="156"/>
      <c r="D109" s="156"/>
    </row>
    <row r="110" spans="3:4" ht="12">
      <c r="C110" s="156"/>
      <c r="D110" s="156"/>
    </row>
    <row r="111" spans="3:4" ht="12">
      <c r="C111" s="156"/>
      <c r="D111" s="156"/>
    </row>
    <row r="112" spans="3:4" ht="12">
      <c r="C112" s="156"/>
      <c r="D112" s="156"/>
    </row>
    <row r="113" spans="3:4" ht="12">
      <c r="C113" s="156"/>
      <c r="D113" s="156"/>
    </row>
    <row r="114" spans="3:4" ht="12">
      <c r="C114" s="156"/>
      <c r="D114" s="156"/>
    </row>
    <row r="115" spans="3:4" ht="12">
      <c r="C115" s="156"/>
      <c r="D115" s="156"/>
    </row>
    <row r="116" spans="3:4" ht="12">
      <c r="C116" s="156"/>
      <c r="D116" s="156"/>
    </row>
    <row r="117" spans="3:4" ht="12">
      <c r="C117" s="156"/>
      <c r="D117" s="156"/>
    </row>
    <row r="118" spans="3:4" ht="12">
      <c r="C118" s="156"/>
      <c r="D118" s="156"/>
    </row>
    <row r="119" spans="3:4" ht="12">
      <c r="C119" s="156"/>
      <c r="D119" s="156"/>
    </row>
    <row r="120" spans="3:4" ht="12">
      <c r="C120" s="156"/>
      <c r="D120" s="156"/>
    </row>
    <row r="121" spans="3:4" ht="12">
      <c r="C121" s="156"/>
      <c r="D121" s="156"/>
    </row>
    <row r="122" spans="3:4" ht="12">
      <c r="C122" s="156"/>
      <c r="D122" s="156"/>
    </row>
    <row r="123" spans="3:4" ht="12">
      <c r="C123" s="156"/>
      <c r="D123" s="156"/>
    </row>
    <row r="124" spans="3:4" ht="12">
      <c r="C124" s="156"/>
      <c r="D124" s="156"/>
    </row>
    <row r="125" spans="3:4" ht="12">
      <c r="C125" s="156"/>
      <c r="D125" s="156"/>
    </row>
    <row r="126" spans="3:4" ht="12">
      <c r="C126" s="156"/>
      <c r="D126" s="156"/>
    </row>
    <row r="127" spans="3:4" ht="12">
      <c r="C127" s="156"/>
      <c r="D127" s="156"/>
    </row>
    <row r="128" spans="3:4" ht="12">
      <c r="C128" s="156"/>
      <c r="D128" s="156"/>
    </row>
    <row r="129" spans="3:4" ht="12">
      <c r="C129" s="156"/>
      <c r="D129" s="156"/>
    </row>
    <row r="130" spans="3:4" ht="12">
      <c r="C130" s="156"/>
      <c r="D130" s="156"/>
    </row>
    <row r="131" spans="3:4" ht="12">
      <c r="C131" s="156"/>
      <c r="D131" s="156"/>
    </row>
    <row r="132" spans="3:4" ht="12">
      <c r="C132" s="156"/>
      <c r="D132" s="156"/>
    </row>
    <row r="133" spans="3:4" ht="12">
      <c r="C133" s="156"/>
      <c r="D133" s="156"/>
    </row>
    <row r="134" spans="3:4" ht="12">
      <c r="C134" s="156"/>
      <c r="D134" s="156"/>
    </row>
    <row r="135" spans="3:4" ht="12">
      <c r="C135" s="156"/>
      <c r="D135" s="156"/>
    </row>
    <row r="136" spans="3:4" ht="12">
      <c r="C136" s="156"/>
      <c r="D136" s="156"/>
    </row>
    <row r="137" spans="3:4" ht="12">
      <c r="C137" s="156"/>
      <c r="D137" s="156"/>
    </row>
    <row r="138" spans="3:4" ht="12">
      <c r="C138" s="156"/>
      <c r="D138" s="156"/>
    </row>
    <row r="139" spans="3:4" ht="12">
      <c r="C139" s="156"/>
      <c r="D139" s="156"/>
    </row>
    <row r="140" spans="3:4" ht="12">
      <c r="C140" s="156"/>
      <c r="D140" s="156"/>
    </row>
    <row r="141" spans="3:4" ht="12">
      <c r="C141" s="156"/>
      <c r="D141" s="156"/>
    </row>
    <row r="142" spans="3:4" ht="12">
      <c r="C142" s="156"/>
      <c r="D142" s="156"/>
    </row>
    <row r="143" spans="3:4" ht="12">
      <c r="C143" s="156"/>
      <c r="D143" s="156"/>
    </row>
    <row r="144" spans="3:4" ht="12">
      <c r="C144" s="156"/>
      <c r="D144" s="156"/>
    </row>
    <row r="145" spans="3:4" ht="12">
      <c r="C145" s="156"/>
      <c r="D145" s="156"/>
    </row>
    <row r="146" spans="3:4" ht="12">
      <c r="C146" s="156"/>
      <c r="D146" s="156"/>
    </row>
    <row r="147" spans="3:4" ht="12">
      <c r="C147" s="156"/>
      <c r="D147" s="156"/>
    </row>
    <row r="148" spans="3:4" ht="12">
      <c r="C148" s="156"/>
      <c r="D148" s="156"/>
    </row>
    <row r="149" spans="3:4" ht="12">
      <c r="C149" s="156"/>
      <c r="D149" s="156"/>
    </row>
    <row r="150" spans="3:4" ht="12">
      <c r="C150" s="156"/>
      <c r="D150" s="156"/>
    </row>
    <row r="151" spans="3:4" ht="12">
      <c r="C151" s="156"/>
      <c r="D151" s="156"/>
    </row>
    <row r="152" spans="3:4" ht="12">
      <c r="C152" s="156"/>
      <c r="D152" s="156"/>
    </row>
    <row r="153" spans="3:4" ht="12">
      <c r="C153" s="156"/>
      <c r="D153" s="156"/>
    </row>
    <row r="154" spans="3:4" ht="12">
      <c r="C154" s="156"/>
      <c r="D154" s="156"/>
    </row>
    <row r="155" spans="3:4" ht="12">
      <c r="C155" s="156"/>
      <c r="D155" s="156"/>
    </row>
    <row r="156" spans="3:4" ht="12">
      <c r="C156" s="156"/>
      <c r="D156" s="156"/>
    </row>
    <row r="157" spans="3:4" ht="12">
      <c r="C157" s="156"/>
      <c r="D157" s="156"/>
    </row>
    <row r="158" spans="3:4" ht="12">
      <c r="C158" s="156"/>
      <c r="D158" s="156"/>
    </row>
    <row r="159" spans="3:4" ht="12">
      <c r="C159" s="156"/>
      <c r="D159" s="156"/>
    </row>
    <row r="160" spans="3:4" ht="12">
      <c r="C160" s="156"/>
      <c r="D160" s="156"/>
    </row>
    <row r="161" spans="3:4" ht="12">
      <c r="C161" s="156"/>
      <c r="D161" s="156"/>
    </row>
    <row r="162" spans="3:4" ht="12">
      <c r="C162" s="156"/>
      <c r="D162" s="156"/>
    </row>
    <row r="163" spans="3:4" ht="12">
      <c r="C163" s="156"/>
      <c r="D163" s="156"/>
    </row>
    <row r="164" spans="3:4" ht="12">
      <c r="C164" s="156"/>
      <c r="D164" s="156"/>
    </row>
    <row r="165" spans="3:4" ht="12">
      <c r="C165" s="156"/>
      <c r="D165" s="156"/>
    </row>
    <row r="166" spans="3:4" ht="12">
      <c r="C166" s="156"/>
      <c r="D166" s="156"/>
    </row>
    <row r="167" spans="3:4" ht="12">
      <c r="C167" s="156"/>
      <c r="D167" s="156"/>
    </row>
    <row r="168" spans="3:4" ht="12">
      <c r="C168" s="156"/>
      <c r="D168" s="156"/>
    </row>
    <row r="169" spans="3:4" ht="12">
      <c r="C169" s="156"/>
      <c r="D169" s="156"/>
    </row>
    <row r="170" spans="3:4" ht="12">
      <c r="C170" s="156"/>
      <c r="D170" s="156"/>
    </row>
    <row r="171" spans="3:4" ht="12">
      <c r="C171" s="156"/>
      <c r="D171" s="156"/>
    </row>
    <row r="172" spans="3:4" ht="12">
      <c r="C172" s="156"/>
      <c r="D172" s="156"/>
    </row>
    <row r="173" spans="3:4" ht="12">
      <c r="C173" s="156"/>
      <c r="D173" s="156"/>
    </row>
    <row r="174" spans="3:4" ht="12">
      <c r="C174" s="156"/>
      <c r="D174" s="156"/>
    </row>
    <row r="175" spans="3:4" ht="12">
      <c r="C175" s="156"/>
      <c r="D175" s="156"/>
    </row>
    <row r="176" spans="3:4" ht="12">
      <c r="C176" s="156"/>
      <c r="D176" s="156"/>
    </row>
    <row r="177" spans="3:4" ht="12">
      <c r="C177" s="156"/>
      <c r="D177" s="156"/>
    </row>
    <row r="178" spans="3:4" ht="12">
      <c r="C178" s="156"/>
      <c r="D178" s="156"/>
    </row>
    <row r="179" spans="3:4" ht="12">
      <c r="C179" s="156"/>
      <c r="D179" s="156"/>
    </row>
    <row r="180" spans="3:4" ht="12">
      <c r="C180" s="156"/>
      <c r="D180" s="156"/>
    </row>
    <row r="181" spans="3:4" ht="12">
      <c r="C181" s="156"/>
      <c r="D181" s="156"/>
    </row>
    <row r="182" spans="3:4" ht="12">
      <c r="C182" s="156"/>
      <c r="D182" s="156"/>
    </row>
    <row r="183" spans="3:4" ht="12">
      <c r="C183" s="156"/>
      <c r="D183" s="156"/>
    </row>
    <row r="184" spans="3:4" ht="12">
      <c r="C184" s="156"/>
      <c r="D184" s="156"/>
    </row>
    <row r="185" spans="3:4" ht="12">
      <c r="C185" s="156"/>
      <c r="D185" s="156"/>
    </row>
    <row r="186" spans="3:4" ht="12">
      <c r="C186" s="156"/>
      <c r="D186" s="156"/>
    </row>
    <row r="187" spans="3:4" ht="12">
      <c r="C187" s="156"/>
      <c r="D187" s="156"/>
    </row>
    <row r="188" spans="3:4" ht="12">
      <c r="C188" s="156"/>
      <c r="D188" s="156"/>
    </row>
    <row r="189" spans="3:4" ht="12">
      <c r="C189" s="156"/>
      <c r="D189" s="156"/>
    </row>
    <row r="190" spans="3:4" ht="12">
      <c r="C190" s="156"/>
      <c r="D190" s="156"/>
    </row>
    <row r="191" spans="3:4" ht="12">
      <c r="C191" s="156"/>
      <c r="D191" s="156"/>
    </row>
    <row r="192" spans="3:4" ht="12">
      <c r="C192" s="156"/>
      <c r="D192" s="156"/>
    </row>
    <row r="193" spans="3:4" ht="12">
      <c r="C193" s="156"/>
      <c r="D193" s="156"/>
    </row>
    <row r="194" spans="3:4" ht="12">
      <c r="C194" s="156"/>
      <c r="D194" s="156"/>
    </row>
    <row r="195" spans="3:4" ht="12">
      <c r="C195" s="156"/>
      <c r="D195" s="156"/>
    </row>
    <row r="196" spans="3:4" ht="12">
      <c r="C196" s="156"/>
      <c r="D196" s="156"/>
    </row>
    <row r="197" spans="3:4" ht="12">
      <c r="C197" s="156"/>
      <c r="D197" s="156"/>
    </row>
    <row r="198" spans="3:4" ht="12">
      <c r="C198" s="156"/>
      <c r="D198" s="156"/>
    </row>
    <row r="199" spans="3:4" ht="12">
      <c r="C199" s="156"/>
      <c r="D199" s="156"/>
    </row>
    <row r="200" spans="3:4" ht="12">
      <c r="C200" s="156"/>
      <c r="D200" s="156"/>
    </row>
    <row r="201" spans="3:4" ht="12">
      <c r="C201" s="156"/>
      <c r="D201" s="156"/>
    </row>
    <row r="202" spans="3:4" ht="12">
      <c r="C202" s="156"/>
      <c r="D202" s="156"/>
    </row>
    <row r="203" spans="3:4" ht="12">
      <c r="C203" s="156"/>
      <c r="D203" s="156"/>
    </row>
    <row r="204" spans="3:4" ht="12">
      <c r="C204" s="156"/>
      <c r="D204" s="156"/>
    </row>
    <row r="205" spans="3:4" ht="12">
      <c r="C205" s="156"/>
      <c r="D205" s="156"/>
    </row>
    <row r="206" spans="3:4" ht="12">
      <c r="C206" s="156"/>
      <c r="D206" s="156"/>
    </row>
    <row r="207" spans="3:4" ht="12">
      <c r="C207" s="156"/>
      <c r="D207" s="156"/>
    </row>
    <row r="208" spans="3:4" ht="12">
      <c r="C208" s="156"/>
      <c r="D208" s="156"/>
    </row>
    <row r="209" spans="3:4" ht="12">
      <c r="C209" s="156"/>
      <c r="D209" s="156"/>
    </row>
    <row r="210" spans="3:4" ht="12">
      <c r="C210" s="156"/>
      <c r="D210" s="156"/>
    </row>
    <row r="211" spans="3:4" ht="12">
      <c r="C211" s="156"/>
      <c r="D211" s="156"/>
    </row>
    <row r="212" spans="3:4" ht="12">
      <c r="C212" s="156"/>
      <c r="D212" s="156"/>
    </row>
    <row r="213" spans="3:4" ht="12">
      <c r="C213" s="156"/>
      <c r="D213" s="156"/>
    </row>
    <row r="214" spans="3:4" ht="12">
      <c r="C214" s="156"/>
      <c r="D214" s="156"/>
    </row>
    <row r="215" spans="3:4" ht="12">
      <c r="C215" s="156"/>
      <c r="D215" s="156"/>
    </row>
    <row r="216" spans="3:4" ht="12">
      <c r="C216" s="156"/>
      <c r="D216" s="156"/>
    </row>
    <row r="217" spans="3:4" ht="12">
      <c r="C217" s="156"/>
      <c r="D217" s="156"/>
    </row>
    <row r="218" spans="3:4" ht="12">
      <c r="C218" s="156"/>
      <c r="D218" s="156"/>
    </row>
    <row r="219" spans="3:4" ht="12">
      <c r="C219" s="156"/>
      <c r="D219" s="156"/>
    </row>
    <row r="220" spans="3:4" ht="12">
      <c r="C220" s="156"/>
      <c r="D220" s="156"/>
    </row>
    <row r="221" spans="3:4" ht="12">
      <c r="C221" s="156"/>
      <c r="D221" s="156"/>
    </row>
    <row r="222" spans="3:4" ht="12">
      <c r="C222" s="156"/>
      <c r="D222" s="156"/>
    </row>
  </sheetData>
  <mergeCells count="9">
    <mergeCell ref="O9:O10"/>
    <mergeCell ref="P9:P10"/>
    <mergeCell ref="A9:A10"/>
    <mergeCell ref="M1:O1"/>
    <mergeCell ref="A6:E6"/>
    <mergeCell ref="H9:H10"/>
    <mergeCell ref="L6:P6"/>
    <mergeCell ref="F4:H4"/>
    <mergeCell ref="A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I15:K18 M15:N18 F26:G27 I24:J27 M26:N27 M24:N24 B25:B27 F24:G24 F17:G18 B24:D24 C26:D27 B15:B18 C15:D15 F15:G15 K25:P25 C25:H25 K26:K27 K24">
      <formula1>0</formula1>
      <formula2>9999999999999990</formula2>
    </dataValidation>
  </dataValidations>
  <printOptions/>
  <pageMargins left="0.25" right="0.25" top="0.51" bottom="0.29" header="0.17" footer="0.21"/>
  <pageSetup fitToHeight="1" fitToWidth="1" horizontalDpi="300" verticalDpi="300" orientation="landscape" scale="6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1"/>
  <sheetViews>
    <sheetView showZeros="0" tabSelected="1" workbookViewId="0" topLeftCell="A7">
      <selection activeCell="D19" sqref="D19"/>
    </sheetView>
  </sheetViews>
  <sheetFormatPr defaultColWidth="9.140625" defaultRowHeight="12.75"/>
  <cols>
    <col min="1" max="1" width="25.00390625" style="8" customWidth="1"/>
    <col min="2" max="2" width="12.57421875" style="8" customWidth="1"/>
    <col min="3" max="3" width="9.57421875" style="8" customWidth="1"/>
    <col min="4" max="4" width="10.57421875" style="8" customWidth="1"/>
    <col min="5" max="5" width="10.140625" style="8" customWidth="1"/>
    <col min="6" max="16384" width="9.140625" style="8" customWidth="1"/>
  </cols>
  <sheetData>
    <row r="1" spans="1:6" s="88" customFormat="1" ht="12.75">
      <c r="A1" s="87"/>
      <c r="B1" s="87"/>
      <c r="C1" s="87"/>
      <c r="D1" s="87"/>
      <c r="E1" s="394" t="s">
        <v>265</v>
      </c>
      <c r="F1" s="394"/>
    </row>
    <row r="3" spans="1:5" ht="14.25">
      <c r="A3" s="397" t="s">
        <v>187</v>
      </c>
      <c r="B3" s="397"/>
      <c r="C3" s="397"/>
      <c r="D3" s="397"/>
      <c r="E3" s="54"/>
    </row>
    <row r="4" spans="1:5" ht="14.25">
      <c r="A4" s="395" t="s">
        <v>188</v>
      </c>
      <c r="B4" s="395"/>
      <c r="C4" s="395"/>
      <c r="D4" s="395"/>
      <c r="E4" s="54"/>
    </row>
    <row r="5" spans="1:5" ht="12.75">
      <c r="A5" s="54"/>
      <c r="B5" s="396"/>
      <c r="C5" s="391"/>
      <c r="D5" s="391"/>
      <c r="E5" s="54"/>
    </row>
    <row r="6" spans="1:7" ht="12.75">
      <c r="A6" s="55" t="s">
        <v>373</v>
      </c>
      <c r="B6" s="55"/>
      <c r="C6" s="55"/>
      <c r="D6" s="398" t="s">
        <v>404</v>
      </c>
      <c r="E6" s="398"/>
      <c r="F6" s="398"/>
      <c r="G6" s="398"/>
    </row>
    <row r="7" spans="1:3" ht="12.75">
      <c r="A7" s="355" t="s">
        <v>438</v>
      </c>
      <c r="B7" s="355"/>
      <c r="C7" s="355"/>
    </row>
    <row r="8" ht="12.75">
      <c r="B8" s="56" t="s">
        <v>158</v>
      </c>
    </row>
    <row r="9" spans="1:6" ht="12.75">
      <c r="A9" s="58" t="s">
        <v>159</v>
      </c>
      <c r="B9" s="57"/>
      <c r="F9" s="139" t="s">
        <v>129</v>
      </c>
    </row>
    <row r="10" spans="1:6" ht="12.75">
      <c r="A10" s="388" t="s">
        <v>160</v>
      </c>
      <c r="B10" s="388" t="s">
        <v>161</v>
      </c>
      <c r="C10" s="401" t="s">
        <v>162</v>
      </c>
      <c r="D10" s="402"/>
      <c r="E10" s="402"/>
      <c r="F10" s="402"/>
    </row>
    <row r="11" spans="1:6" ht="25.5">
      <c r="A11" s="388"/>
      <c r="B11" s="388"/>
      <c r="C11" s="12" t="s">
        <v>163</v>
      </c>
      <c r="D11" s="12" t="s">
        <v>164</v>
      </c>
      <c r="E11" s="102" t="s">
        <v>165</v>
      </c>
      <c r="F11" s="102" t="s">
        <v>166</v>
      </c>
    </row>
    <row r="12" spans="1:6" s="83" customFormat="1" ht="12.75">
      <c r="A12" s="140" t="s">
        <v>7</v>
      </c>
      <c r="B12" s="102">
        <v>1</v>
      </c>
      <c r="C12" s="102">
        <v>2</v>
      </c>
      <c r="D12" s="102">
        <v>3</v>
      </c>
      <c r="E12" s="140">
        <v>4</v>
      </c>
      <c r="F12" s="140">
        <v>5</v>
      </c>
    </row>
    <row r="13" spans="1:6" ht="12.75">
      <c r="A13" s="103" t="s">
        <v>267</v>
      </c>
      <c r="B13" s="86" t="s">
        <v>158</v>
      </c>
      <c r="C13" s="86" t="s">
        <v>158</v>
      </c>
      <c r="D13" s="86" t="s">
        <v>158</v>
      </c>
      <c r="E13" s="10"/>
      <c r="F13" s="10"/>
    </row>
    <row r="14" spans="1:6" ht="25.5">
      <c r="A14" s="86" t="s">
        <v>268</v>
      </c>
      <c r="B14" s="204" t="s">
        <v>158</v>
      </c>
      <c r="C14" s="204" t="s">
        <v>158</v>
      </c>
      <c r="D14" s="204" t="s">
        <v>158</v>
      </c>
      <c r="E14" s="204"/>
      <c r="F14" s="204"/>
    </row>
    <row r="15" spans="1:6" ht="25.5">
      <c r="A15" s="86" t="s">
        <v>269</v>
      </c>
      <c r="B15" s="204">
        <v>2.42</v>
      </c>
      <c r="D15" s="204">
        <v>2.42</v>
      </c>
      <c r="E15" s="204"/>
      <c r="F15" s="204"/>
    </row>
    <row r="16" spans="1:6" ht="25.5">
      <c r="A16" s="113" t="s">
        <v>270</v>
      </c>
      <c r="B16" s="261">
        <v>48486.23</v>
      </c>
      <c r="C16" s="261">
        <v>48486.23</v>
      </c>
      <c r="D16" s="204" t="s">
        <v>158</v>
      </c>
      <c r="E16" s="204"/>
      <c r="F16" s="204"/>
    </row>
    <row r="17" spans="1:6" ht="12.75">
      <c r="A17" s="86" t="s">
        <v>271</v>
      </c>
      <c r="B17" s="204">
        <f aca="true" t="shared" si="0" ref="B17:B27">SUM(C17:F17)</f>
        <v>0</v>
      </c>
      <c r="C17" s="204" t="s">
        <v>158</v>
      </c>
      <c r="D17" s="204" t="s">
        <v>158</v>
      </c>
      <c r="E17" s="204"/>
      <c r="F17" s="204"/>
    </row>
    <row r="18" spans="1:6" ht="12.75">
      <c r="A18" s="86" t="s">
        <v>272</v>
      </c>
      <c r="B18" s="204">
        <f t="shared" si="0"/>
        <v>0</v>
      </c>
      <c r="C18" s="204" t="s">
        <v>158</v>
      </c>
      <c r="D18" s="204" t="s">
        <v>158</v>
      </c>
      <c r="E18" s="204"/>
      <c r="F18" s="204"/>
    </row>
    <row r="19" spans="1:6" ht="25.5">
      <c r="A19" s="86" t="s">
        <v>273</v>
      </c>
      <c r="B19" s="204">
        <f t="shared" si="0"/>
        <v>0</v>
      </c>
      <c r="C19" s="204"/>
      <c r="D19" s="204"/>
      <c r="E19" s="204"/>
      <c r="F19" s="204"/>
    </row>
    <row r="20" spans="1:6" ht="12.75">
      <c r="A20" s="86" t="s">
        <v>274</v>
      </c>
      <c r="B20" s="204">
        <v>3968.22</v>
      </c>
      <c r="C20" s="204">
        <v>3968.22</v>
      </c>
      <c r="D20" s="204"/>
      <c r="E20" s="204"/>
      <c r="F20" s="204"/>
    </row>
    <row r="21" spans="1:6" ht="25.5">
      <c r="A21" s="86" t="s">
        <v>293</v>
      </c>
      <c r="B21" s="204">
        <f>SUM(C21:F21)</f>
        <v>0</v>
      </c>
      <c r="C21" s="204">
        <f>SUM(C22:C23)</f>
        <v>0</v>
      </c>
      <c r="D21" s="204">
        <f>SUM(D22:D23)</f>
        <v>0</v>
      </c>
      <c r="E21" s="204">
        <f>SUM(E22:E23)</f>
        <v>0</v>
      </c>
      <c r="F21" s="204">
        <f>SUM(F22:F23)</f>
        <v>0</v>
      </c>
    </row>
    <row r="22" spans="1:6" ht="12.75">
      <c r="A22" s="86" t="s">
        <v>181</v>
      </c>
      <c r="B22" s="204">
        <v>0</v>
      </c>
      <c r="C22" s="204">
        <v>0</v>
      </c>
      <c r="D22" s="204" t="s">
        <v>158</v>
      </c>
      <c r="E22" s="204"/>
      <c r="F22" s="204"/>
    </row>
    <row r="23" spans="1:6" ht="12.75">
      <c r="A23" s="256" t="s">
        <v>275</v>
      </c>
      <c r="B23" s="204">
        <v>0</v>
      </c>
      <c r="C23" s="204">
        <v>0</v>
      </c>
      <c r="D23" s="204" t="s">
        <v>158</v>
      </c>
      <c r="E23" s="204"/>
      <c r="F23" s="204"/>
    </row>
    <row r="24" spans="1:6" ht="25.5">
      <c r="A24" s="86" t="s">
        <v>276</v>
      </c>
      <c r="B24" s="204">
        <f>SUM(B25:B28)</f>
        <v>948.76</v>
      </c>
      <c r="C24" s="204">
        <f>SUM(C25:C28)</f>
        <v>0</v>
      </c>
      <c r="D24" s="204">
        <f>SUM(D25:D28)</f>
        <v>0</v>
      </c>
      <c r="E24" s="204">
        <f>SUM(E25:E28)</f>
        <v>948.76</v>
      </c>
      <c r="F24" s="204">
        <f>SUM(F25:F28)</f>
        <v>0</v>
      </c>
    </row>
    <row r="25" spans="1:6" ht="12.75">
      <c r="A25" s="113" t="s">
        <v>183</v>
      </c>
      <c r="B25" s="204">
        <f t="shared" si="0"/>
        <v>0</v>
      </c>
      <c r="C25" s="204" t="s">
        <v>158</v>
      </c>
      <c r="D25" s="204" t="s">
        <v>158</v>
      </c>
      <c r="E25" s="204"/>
      <c r="F25" s="204"/>
    </row>
    <row r="26" spans="1:6" ht="25.5">
      <c r="A26" s="113" t="s">
        <v>182</v>
      </c>
      <c r="B26" s="204"/>
      <c r="C26" s="204"/>
      <c r="D26" s="204" t="s">
        <v>158</v>
      </c>
      <c r="E26" s="204"/>
      <c r="F26" s="204"/>
    </row>
    <row r="27" spans="1:6" ht="12.75">
      <c r="A27" s="113" t="s">
        <v>184</v>
      </c>
      <c r="B27" s="204">
        <f t="shared" si="0"/>
        <v>0</v>
      </c>
      <c r="C27" s="204" t="s">
        <v>158</v>
      </c>
      <c r="D27" s="204" t="s">
        <v>158</v>
      </c>
      <c r="E27" s="204"/>
      <c r="F27" s="204"/>
    </row>
    <row r="28" spans="1:6" ht="12.75">
      <c r="A28" s="113" t="s">
        <v>21</v>
      </c>
      <c r="B28" s="204">
        <v>948.76</v>
      </c>
      <c r="C28" s="204"/>
      <c r="D28" s="204" t="s">
        <v>158</v>
      </c>
      <c r="E28" s="204">
        <v>948.76</v>
      </c>
      <c r="F28" s="204"/>
    </row>
    <row r="29" spans="1:6" ht="12.75">
      <c r="A29" s="103" t="s">
        <v>167</v>
      </c>
      <c r="B29" s="211">
        <f>SUM(B14:B21,B24)</f>
        <v>53405.630000000005</v>
      </c>
      <c r="C29" s="211">
        <f>SUM(C14:C21,C24)</f>
        <v>52454.450000000004</v>
      </c>
      <c r="D29" s="211">
        <f>SUM(D15)</f>
        <v>2.42</v>
      </c>
      <c r="E29" s="211">
        <f>SUM(E15,E16,E21,E24,E20)</f>
        <v>948.76</v>
      </c>
      <c r="F29" s="211">
        <f>SUM(F15,F16,F21,F24,F20)</f>
        <v>0</v>
      </c>
    </row>
    <row r="30" spans="1:6" ht="12.75">
      <c r="A30" s="141"/>
      <c r="B30" s="56"/>
      <c r="C30" s="56"/>
      <c r="D30" s="56"/>
      <c r="E30" s="57"/>
      <c r="F30" s="57"/>
    </row>
    <row r="31" spans="1:7" ht="12.75">
      <c r="A31" s="58" t="s">
        <v>291</v>
      </c>
      <c r="G31" s="82" t="s">
        <v>266</v>
      </c>
    </row>
    <row r="32" spans="1:7" ht="12.75">
      <c r="A32" s="388" t="s">
        <v>160</v>
      </c>
      <c r="B32" s="388" t="s">
        <v>168</v>
      </c>
      <c r="C32" s="388" t="s">
        <v>169</v>
      </c>
      <c r="D32" s="388"/>
      <c r="E32" s="388"/>
      <c r="F32" s="388"/>
      <c r="G32" s="388" t="s">
        <v>170</v>
      </c>
    </row>
    <row r="33" spans="1:7" ht="12.75">
      <c r="A33" s="388"/>
      <c r="B33" s="388"/>
      <c r="C33" s="388"/>
      <c r="D33" s="388"/>
      <c r="E33" s="388"/>
      <c r="F33" s="388"/>
      <c r="G33" s="388"/>
    </row>
    <row r="34" spans="1:7" ht="25.5">
      <c r="A34" s="388"/>
      <c r="B34" s="388"/>
      <c r="C34" s="94" t="s">
        <v>163</v>
      </c>
      <c r="D34" s="94" t="s">
        <v>171</v>
      </c>
      <c r="E34" s="94" t="s">
        <v>172</v>
      </c>
      <c r="F34" s="94" t="s">
        <v>173</v>
      </c>
      <c r="G34" s="388"/>
    </row>
    <row r="35" spans="1:7" s="62" customFormat="1" ht="12.75">
      <c r="A35" s="102" t="s">
        <v>7</v>
      </c>
      <c r="B35" s="102">
        <v>1</v>
      </c>
      <c r="C35" s="142">
        <v>2</v>
      </c>
      <c r="D35" s="142">
        <v>3</v>
      </c>
      <c r="E35" s="102">
        <v>4</v>
      </c>
      <c r="F35" s="102">
        <v>5</v>
      </c>
      <c r="G35" s="90">
        <v>6</v>
      </c>
    </row>
    <row r="36" spans="1:7" s="55" customFormat="1" ht="25.5">
      <c r="A36" s="103" t="s">
        <v>277</v>
      </c>
      <c r="B36" s="204">
        <f aca="true" t="shared" si="1" ref="B36:B41">SUM(C36:F36)</f>
        <v>0</v>
      </c>
      <c r="C36" s="253"/>
      <c r="D36" s="253"/>
      <c r="E36" s="253"/>
      <c r="F36" s="253"/>
      <c r="G36" s="140"/>
    </row>
    <row r="37" spans="1:7" ht="12.75">
      <c r="A37" s="113" t="s">
        <v>278</v>
      </c>
      <c r="B37" s="204">
        <f t="shared" si="1"/>
        <v>0</v>
      </c>
      <c r="C37" s="204"/>
      <c r="D37" s="204"/>
      <c r="E37" s="204"/>
      <c r="F37" s="204"/>
      <c r="G37" s="204"/>
    </row>
    <row r="38" spans="1:7" ht="25.5">
      <c r="A38" s="86" t="s">
        <v>362</v>
      </c>
      <c r="B38" s="204">
        <f t="shared" si="1"/>
        <v>0</v>
      </c>
      <c r="C38" s="204" t="s">
        <v>158</v>
      </c>
      <c r="D38" s="204" t="s">
        <v>158</v>
      </c>
      <c r="E38" s="204" t="s">
        <v>158</v>
      </c>
      <c r="F38" s="204"/>
      <c r="G38" s="204"/>
    </row>
    <row r="39" spans="1:7" ht="12.75">
      <c r="A39" s="113" t="s">
        <v>287</v>
      </c>
      <c r="B39" s="204">
        <f t="shared" si="1"/>
        <v>0</v>
      </c>
      <c r="C39" s="204" t="s">
        <v>158</v>
      </c>
      <c r="D39" s="204" t="s">
        <v>158</v>
      </c>
      <c r="E39" s="204" t="s">
        <v>158</v>
      </c>
      <c r="F39" s="204"/>
      <c r="G39" s="204"/>
    </row>
    <row r="40" spans="1:7" ht="25.5">
      <c r="A40" s="86" t="s">
        <v>279</v>
      </c>
      <c r="B40" s="204">
        <f>840+719.55</f>
        <v>1559.55</v>
      </c>
      <c r="C40" s="204">
        <f>840+719.55</f>
        <v>1559.55</v>
      </c>
      <c r="D40" s="204" t="s">
        <v>158</v>
      </c>
      <c r="E40" s="204" t="s">
        <v>158</v>
      </c>
      <c r="F40" s="204"/>
      <c r="G40" s="204"/>
    </row>
    <row r="41" spans="1:7" ht="25.5">
      <c r="A41" s="113" t="s">
        <v>280</v>
      </c>
      <c r="B41" s="204">
        <f t="shared" si="1"/>
        <v>0</v>
      </c>
      <c r="C41" s="204" t="s">
        <v>158</v>
      </c>
      <c r="D41" s="204" t="s">
        <v>158</v>
      </c>
      <c r="E41" s="204" t="s">
        <v>158</v>
      </c>
      <c r="F41" s="204"/>
      <c r="G41" s="204"/>
    </row>
    <row r="42" spans="1:7" ht="12.75">
      <c r="A42" s="86" t="s">
        <v>281</v>
      </c>
      <c r="B42" s="204"/>
      <c r="C42" s="204">
        <v>0</v>
      </c>
      <c r="D42" s="204"/>
      <c r="E42" s="204"/>
      <c r="F42" s="204"/>
      <c r="G42" s="204"/>
    </row>
    <row r="43" spans="1:7" ht="25.5">
      <c r="A43" s="86" t="s">
        <v>294</v>
      </c>
      <c r="B43" s="204">
        <v>0</v>
      </c>
      <c r="C43" s="204">
        <v>0</v>
      </c>
      <c r="D43" s="204" t="s">
        <v>158</v>
      </c>
      <c r="E43" s="204"/>
      <c r="F43" s="204"/>
      <c r="G43" s="204"/>
    </row>
    <row r="44" spans="1:7" ht="12.75">
      <c r="A44" s="86" t="s">
        <v>181</v>
      </c>
      <c r="B44" s="204">
        <v>0</v>
      </c>
      <c r="C44" s="204">
        <v>0</v>
      </c>
      <c r="D44" s="204" t="s">
        <v>158</v>
      </c>
      <c r="E44" s="204" t="s">
        <v>158</v>
      </c>
      <c r="F44" s="204"/>
      <c r="G44" s="204"/>
    </row>
    <row r="45" spans="1:7" ht="12.75">
      <c r="A45" s="86" t="s">
        <v>185</v>
      </c>
      <c r="B45" s="204">
        <v>0</v>
      </c>
      <c r="C45" s="204">
        <v>0</v>
      </c>
      <c r="D45" s="204" t="s">
        <v>158</v>
      </c>
      <c r="E45" s="204" t="s">
        <v>158</v>
      </c>
      <c r="F45" s="204"/>
      <c r="G45" s="204"/>
    </row>
    <row r="46" spans="1:7" ht="12.75">
      <c r="A46" s="56"/>
      <c r="B46" s="56"/>
      <c r="C46" s="56"/>
      <c r="D46" s="56"/>
      <c r="E46" s="56"/>
      <c r="F46" s="57"/>
      <c r="G46" s="57"/>
    </row>
    <row r="47" spans="1:7" ht="12.75">
      <c r="A47" s="56"/>
      <c r="B47" s="56"/>
      <c r="C47" s="56"/>
      <c r="D47" s="56"/>
      <c r="E47" s="56"/>
      <c r="F47" s="57"/>
      <c r="G47" s="57"/>
    </row>
    <row r="48" spans="1:7" s="55" customFormat="1" ht="12.75">
      <c r="A48" s="102" t="s">
        <v>7</v>
      </c>
      <c r="B48" s="102">
        <v>1</v>
      </c>
      <c r="C48" s="142">
        <v>2</v>
      </c>
      <c r="D48" s="142">
        <v>3</v>
      </c>
      <c r="E48" s="102">
        <v>4</v>
      </c>
      <c r="F48" s="102">
        <v>5</v>
      </c>
      <c r="G48" s="104">
        <v>6</v>
      </c>
    </row>
    <row r="49" spans="1:7" ht="25.5">
      <c r="A49" s="86" t="s">
        <v>282</v>
      </c>
      <c r="B49" s="204"/>
      <c r="C49" s="204">
        <v>0</v>
      </c>
      <c r="D49" s="204"/>
      <c r="E49" s="204"/>
      <c r="F49" s="204"/>
      <c r="G49" s="204"/>
    </row>
    <row r="50" spans="1:7" ht="25.5">
      <c r="A50" s="86" t="s">
        <v>283</v>
      </c>
      <c r="B50" s="204"/>
      <c r="C50" s="204"/>
      <c r="D50" s="204"/>
      <c r="E50" s="204"/>
      <c r="F50" s="204"/>
      <c r="G50" s="204"/>
    </row>
    <row r="51" spans="1:7" ht="25.5">
      <c r="A51" s="86" t="s">
        <v>284</v>
      </c>
      <c r="B51" s="204"/>
      <c r="C51" s="204"/>
      <c r="D51" s="204"/>
      <c r="E51" s="204"/>
      <c r="F51" s="204"/>
      <c r="G51" s="204"/>
    </row>
    <row r="52" spans="1:7" ht="25.5">
      <c r="A52" s="86" t="s">
        <v>285</v>
      </c>
      <c r="B52" s="204"/>
      <c r="C52" s="204"/>
      <c r="D52" s="204"/>
      <c r="E52" s="204"/>
      <c r="F52" s="204"/>
      <c r="G52" s="204"/>
    </row>
    <row r="53" spans="1:7" ht="25.5">
      <c r="A53" s="86" t="s">
        <v>295</v>
      </c>
      <c r="B53" s="204">
        <v>0</v>
      </c>
      <c r="C53" s="204"/>
      <c r="D53" s="204"/>
      <c r="E53" s="204"/>
      <c r="F53" s="204"/>
      <c r="G53" s="204"/>
    </row>
    <row r="54" spans="1:7" ht="12.75">
      <c r="A54" s="86" t="s">
        <v>286</v>
      </c>
      <c r="B54" s="204" t="s">
        <v>158</v>
      </c>
      <c r="C54" s="204" t="s">
        <v>158</v>
      </c>
      <c r="D54" s="204" t="s">
        <v>158</v>
      </c>
      <c r="E54" s="204" t="s">
        <v>158</v>
      </c>
      <c r="F54" s="204"/>
      <c r="G54" s="204"/>
    </row>
    <row r="55" spans="1:7" ht="12.75">
      <c r="A55" s="103" t="s">
        <v>186</v>
      </c>
      <c r="B55" s="213">
        <f aca="true" t="shared" si="2" ref="B55:G55">SUM(B37,B38,B40,B41,B42,B43,B49,B50,B51,B52,B53)</f>
        <v>1559.55</v>
      </c>
      <c r="C55" s="213">
        <f t="shared" si="2"/>
        <v>1559.55</v>
      </c>
      <c r="D55" s="213">
        <f t="shared" si="2"/>
        <v>0</v>
      </c>
      <c r="E55" s="213">
        <f t="shared" si="2"/>
        <v>0</v>
      </c>
      <c r="F55" s="213">
        <f t="shared" si="2"/>
        <v>0</v>
      </c>
      <c r="G55" s="213">
        <f t="shared" si="2"/>
        <v>0</v>
      </c>
    </row>
    <row r="56" ht="12.75">
      <c r="A56" s="56"/>
    </row>
    <row r="57" ht="12.75">
      <c r="A57" s="56"/>
    </row>
    <row r="58" ht="12.75">
      <c r="A58" s="56"/>
    </row>
    <row r="59" spans="1:5" ht="12.75">
      <c r="A59" s="58" t="s">
        <v>292</v>
      </c>
      <c r="B59" s="58"/>
      <c r="E59" s="143" t="s">
        <v>129</v>
      </c>
    </row>
    <row r="60" spans="1:5" s="84" customFormat="1" ht="25.5">
      <c r="A60" s="94" t="s">
        <v>160</v>
      </c>
      <c r="B60" s="94" t="s">
        <v>174</v>
      </c>
      <c r="C60" s="94" t="s">
        <v>175</v>
      </c>
      <c r="D60" s="94" t="s">
        <v>176</v>
      </c>
      <c r="E60" s="94" t="s">
        <v>177</v>
      </c>
    </row>
    <row r="61" spans="1:6" s="62" customFormat="1" ht="12.75">
      <c r="A61" s="102" t="s">
        <v>7</v>
      </c>
      <c r="B61" s="102">
        <v>1</v>
      </c>
      <c r="C61" s="102">
        <v>2</v>
      </c>
      <c r="D61" s="102">
        <v>3</v>
      </c>
      <c r="E61" s="102">
        <v>4</v>
      </c>
      <c r="F61" s="55"/>
    </row>
    <row r="62" spans="1:5" ht="25.5">
      <c r="A62" s="86" t="s">
        <v>288</v>
      </c>
      <c r="B62" s="262"/>
      <c r="C62" s="262">
        <v>0</v>
      </c>
      <c r="D62" s="262">
        <v>0</v>
      </c>
      <c r="E62" s="262">
        <f>B62+C62-D62</f>
        <v>0</v>
      </c>
    </row>
    <row r="63" spans="1:5" ht="25.5">
      <c r="A63" s="86" t="s">
        <v>289</v>
      </c>
      <c r="B63" s="262" t="s">
        <v>158</v>
      </c>
      <c r="C63" s="262" t="s">
        <v>158</v>
      </c>
      <c r="D63" s="262" t="s">
        <v>158</v>
      </c>
      <c r="E63" s="262"/>
    </row>
    <row r="64" spans="1:5" ht="12.75">
      <c r="A64" s="86" t="s">
        <v>290</v>
      </c>
      <c r="B64" s="263">
        <f>496.34+115.82</f>
        <v>612.16</v>
      </c>
      <c r="C64" s="263">
        <f>36.92+176.39</f>
        <v>213.31</v>
      </c>
      <c r="D64" s="263">
        <f>117.73+501.91</f>
        <v>619.64</v>
      </c>
      <c r="E64" s="263">
        <f>B64+C64-D64</f>
        <v>205.83000000000004</v>
      </c>
    </row>
    <row r="65" spans="1:6" ht="12.75">
      <c r="A65" s="103" t="s">
        <v>178</v>
      </c>
      <c r="B65" s="264">
        <f>SUM(B62:B64)</f>
        <v>612.16</v>
      </c>
      <c r="C65" s="264">
        <f>SUM(C62:C64)</f>
        <v>213.31</v>
      </c>
      <c r="D65" s="264">
        <f>SUM(D62:D64)</f>
        <v>619.64</v>
      </c>
      <c r="E65" s="264">
        <f>B65+C65-D65</f>
        <v>205.83000000000004</v>
      </c>
      <c r="F65" s="57"/>
    </row>
    <row r="66" spans="1:6" ht="12.75">
      <c r="A66" s="399" t="s">
        <v>363</v>
      </c>
      <c r="B66" s="400"/>
      <c r="C66" s="400"/>
      <c r="D66" s="400"/>
      <c r="E66" s="400"/>
      <c r="F66" s="85"/>
    </row>
    <row r="67" spans="1:6" ht="13.5">
      <c r="A67" s="205"/>
      <c r="B67" s="85"/>
      <c r="C67" s="85"/>
      <c r="D67" s="85"/>
      <c r="E67" s="85"/>
      <c r="F67" s="85"/>
    </row>
    <row r="68" spans="1:6" ht="13.5">
      <c r="A68" s="205"/>
      <c r="B68" s="85"/>
      <c r="C68" s="85"/>
      <c r="D68" s="85"/>
      <c r="E68" s="85"/>
      <c r="F68" s="85"/>
    </row>
    <row r="71" spans="1:5" ht="12.75">
      <c r="A71" s="8" t="s">
        <v>469</v>
      </c>
      <c r="B71" s="377" t="s">
        <v>179</v>
      </c>
      <c r="C71" s="377"/>
      <c r="D71" s="377" t="s">
        <v>180</v>
      </c>
      <c r="E71" s="377"/>
    </row>
  </sheetData>
  <mergeCells count="16">
    <mergeCell ref="A66:E66"/>
    <mergeCell ref="B71:C71"/>
    <mergeCell ref="D71:E71"/>
    <mergeCell ref="C10:F10"/>
    <mergeCell ref="B10:B11"/>
    <mergeCell ref="A10:A11"/>
    <mergeCell ref="A32:A34"/>
    <mergeCell ref="B32:B34"/>
    <mergeCell ref="E1:F1"/>
    <mergeCell ref="C32:F33"/>
    <mergeCell ref="A4:D4"/>
    <mergeCell ref="B5:D5"/>
    <mergeCell ref="A3:D3"/>
    <mergeCell ref="D6:G6"/>
    <mergeCell ref="G32:G34"/>
    <mergeCell ref="A7:C7"/>
  </mergeCells>
  <printOptions/>
  <pageMargins left="0.75" right="0.75" top="0.55" bottom="0.63" header="0.26" footer="0.5"/>
  <pageSetup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4"/>
  <sheetViews>
    <sheetView showZeros="0" workbookViewId="0" topLeftCell="F67">
      <selection activeCell="O80" sqref="O80"/>
    </sheetView>
  </sheetViews>
  <sheetFormatPr defaultColWidth="9.140625" defaultRowHeight="12.75"/>
  <cols>
    <col min="1" max="1" width="29.7109375" style="127" customWidth="1"/>
    <col min="2" max="2" width="14.421875" style="127" bestFit="1" customWidth="1"/>
    <col min="3" max="3" width="10.57421875" style="127" customWidth="1"/>
    <col min="4" max="4" width="9.00390625" style="127" customWidth="1"/>
    <col min="5" max="5" width="9.8515625" style="127" customWidth="1"/>
    <col min="6" max="6" width="17.8515625" style="127" customWidth="1"/>
    <col min="7" max="7" width="8.421875" style="127" customWidth="1"/>
    <col min="8" max="8" width="7.57421875" style="127" customWidth="1"/>
    <col min="9" max="9" width="9.421875" style="127" customWidth="1"/>
    <col min="10" max="10" width="10.8515625" style="127" customWidth="1"/>
    <col min="11" max="11" width="9.57421875" style="289" bestFit="1" customWidth="1"/>
    <col min="12" max="12" width="7.8515625" style="289" customWidth="1"/>
    <col min="13" max="13" width="7.7109375" style="289" customWidth="1"/>
    <col min="14" max="14" width="8.28125" style="127" customWidth="1"/>
    <col min="15" max="15" width="15.7109375" style="127" customWidth="1"/>
    <col min="16" max="16" width="12.00390625" style="127" customWidth="1"/>
    <col min="17" max="16384" width="9.140625" style="127" customWidth="1"/>
  </cols>
  <sheetData>
    <row r="1" spans="3:17" ht="12.75">
      <c r="C1" s="289"/>
      <c r="D1" s="289"/>
      <c r="E1" s="289"/>
      <c r="F1" s="289"/>
      <c r="G1" s="289"/>
      <c r="H1" s="289"/>
      <c r="I1" s="289"/>
      <c r="J1" s="289"/>
      <c r="M1" s="411" t="s">
        <v>311</v>
      </c>
      <c r="N1" s="404"/>
      <c r="O1" s="407"/>
      <c r="P1" s="408"/>
      <c r="Q1" s="289"/>
    </row>
    <row r="2" spans="3:17" ht="12.75">
      <c r="C2" s="289"/>
      <c r="D2" s="289"/>
      <c r="E2" s="289"/>
      <c r="F2" s="289"/>
      <c r="G2" s="289"/>
      <c r="H2" s="289"/>
      <c r="I2" s="289"/>
      <c r="J2" s="289"/>
      <c r="O2" s="290"/>
      <c r="P2" s="291"/>
      <c r="Q2" s="289"/>
    </row>
    <row r="3" spans="1:15" s="289" customFormat="1" ht="14.25">
      <c r="A3" s="292"/>
      <c r="B3" s="292"/>
      <c r="C3" s="292"/>
      <c r="D3" s="292"/>
      <c r="E3" s="292"/>
      <c r="F3" s="293"/>
      <c r="G3" s="294"/>
      <c r="H3" s="293" t="s">
        <v>187</v>
      </c>
      <c r="I3" s="294"/>
      <c r="J3" s="294"/>
      <c r="K3" s="294"/>
      <c r="L3" s="294"/>
      <c r="M3" s="295"/>
      <c r="N3" s="295"/>
      <c r="O3" s="295"/>
    </row>
    <row r="4" spans="1:16" s="289" customFormat="1" ht="14.25">
      <c r="A4" s="296"/>
      <c r="B4" s="296"/>
      <c r="C4" s="296"/>
      <c r="D4" s="296"/>
      <c r="E4" s="296"/>
      <c r="F4" s="297"/>
      <c r="G4" s="409" t="s">
        <v>364</v>
      </c>
      <c r="H4" s="410"/>
      <c r="I4" s="410"/>
      <c r="J4" s="280"/>
      <c r="K4" s="280"/>
      <c r="L4" s="280"/>
      <c r="M4" s="280"/>
      <c r="N4" s="280"/>
      <c r="O4" s="280"/>
      <c r="P4" s="280"/>
    </row>
    <row r="5" spans="1:16" s="289" customFormat="1" ht="14.25">
      <c r="A5" s="292"/>
      <c r="B5" s="292"/>
      <c r="C5" s="292"/>
      <c r="D5" s="292"/>
      <c r="E5" s="292"/>
      <c r="F5" s="292"/>
      <c r="G5" s="292"/>
      <c r="H5" s="292"/>
      <c r="I5" s="292"/>
      <c r="J5" s="280"/>
      <c r="K5" s="280"/>
      <c r="L5" s="280"/>
      <c r="M5" s="280"/>
      <c r="N5" s="280"/>
      <c r="O5" s="280"/>
      <c r="P5" s="280"/>
    </row>
    <row r="6" spans="1:18" s="289" customFormat="1" ht="15">
      <c r="A6" s="403" t="s">
        <v>373</v>
      </c>
      <c r="B6" s="404"/>
      <c r="C6" s="280"/>
      <c r="D6" s="280"/>
      <c r="E6" s="280"/>
      <c r="F6" s="184"/>
      <c r="G6" s="298"/>
      <c r="H6" s="298"/>
      <c r="I6" s="298"/>
      <c r="J6" s="299"/>
      <c r="K6" s="185"/>
      <c r="L6" s="300"/>
      <c r="M6" s="185" t="s">
        <v>334</v>
      </c>
      <c r="N6" s="300"/>
      <c r="O6" s="300"/>
      <c r="P6" s="301" t="s">
        <v>403</v>
      </c>
      <c r="Q6" s="301"/>
      <c r="R6" s="301"/>
    </row>
    <row r="7" spans="1:16" s="289" customFormat="1" ht="12.75">
      <c r="A7" s="355" t="s">
        <v>438</v>
      </c>
      <c r="B7" s="355"/>
      <c r="C7" s="355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</row>
    <row r="8" spans="1:16" s="289" customFormat="1" ht="12.75">
      <c r="A8" s="302"/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</row>
    <row r="9" spans="1:16" ht="12.75">
      <c r="A9" s="303"/>
      <c r="B9" s="304"/>
      <c r="C9" s="305"/>
      <c r="D9" s="303"/>
      <c r="E9" s="303"/>
      <c r="F9" s="303"/>
      <c r="G9" s="303"/>
      <c r="H9" s="303"/>
      <c r="I9" s="306"/>
      <c r="J9" s="307" t="s">
        <v>158</v>
      </c>
      <c r="K9" s="307"/>
      <c r="L9" s="307"/>
      <c r="M9" s="307"/>
      <c r="N9" s="303"/>
      <c r="P9" s="308" t="s">
        <v>129</v>
      </c>
    </row>
    <row r="10" spans="1:17" s="309" customFormat="1" ht="12.75">
      <c r="A10" s="405" t="s">
        <v>160</v>
      </c>
      <c r="B10" s="405" t="s">
        <v>189</v>
      </c>
      <c r="C10" s="405"/>
      <c r="D10" s="405"/>
      <c r="E10" s="405"/>
      <c r="F10" s="405"/>
      <c r="G10" s="405"/>
      <c r="H10" s="405"/>
      <c r="I10" s="405"/>
      <c r="J10" s="405" t="s">
        <v>190</v>
      </c>
      <c r="K10" s="405"/>
      <c r="L10" s="405"/>
      <c r="M10" s="405"/>
      <c r="N10" s="405"/>
      <c r="O10" s="405"/>
      <c r="P10" s="405" t="s">
        <v>221</v>
      </c>
      <c r="Q10" s="412"/>
    </row>
    <row r="11" spans="1:17" s="309" customFormat="1" ht="12.75">
      <c r="A11" s="406"/>
      <c r="B11" s="405" t="s">
        <v>207</v>
      </c>
      <c r="C11" s="405" t="s">
        <v>191</v>
      </c>
      <c r="D11" s="405" t="s">
        <v>192</v>
      </c>
      <c r="E11" s="405" t="s">
        <v>193</v>
      </c>
      <c r="F11" s="405" t="s">
        <v>205</v>
      </c>
      <c r="G11" s="405" t="s">
        <v>204</v>
      </c>
      <c r="H11" s="405" t="s">
        <v>203</v>
      </c>
      <c r="I11" s="405" t="s">
        <v>206</v>
      </c>
      <c r="J11" s="405" t="s">
        <v>213</v>
      </c>
      <c r="K11" s="416" t="s">
        <v>212</v>
      </c>
      <c r="L11" s="416"/>
      <c r="M11" s="416"/>
      <c r="N11" s="416"/>
      <c r="O11" s="405" t="s">
        <v>214</v>
      </c>
      <c r="P11" s="405"/>
      <c r="Q11" s="413"/>
    </row>
    <row r="12" spans="1:17" s="309" customFormat="1" ht="12">
      <c r="A12" s="406"/>
      <c r="B12" s="405"/>
      <c r="C12" s="405"/>
      <c r="D12" s="405"/>
      <c r="E12" s="405"/>
      <c r="F12" s="405"/>
      <c r="G12" s="405"/>
      <c r="H12" s="405"/>
      <c r="I12" s="405"/>
      <c r="J12" s="405"/>
      <c r="K12" s="405" t="s">
        <v>194</v>
      </c>
      <c r="L12" s="405"/>
      <c r="M12" s="405" t="s">
        <v>195</v>
      </c>
      <c r="N12" s="405"/>
      <c r="O12" s="405"/>
      <c r="P12" s="405"/>
      <c r="Q12" s="413"/>
    </row>
    <row r="13" spans="1:17" s="309" customFormat="1" ht="12">
      <c r="A13" s="406"/>
      <c r="B13" s="405"/>
      <c r="C13" s="405"/>
      <c r="D13" s="405"/>
      <c r="E13" s="405"/>
      <c r="F13" s="405"/>
      <c r="G13" s="405"/>
      <c r="H13" s="405"/>
      <c r="I13" s="405"/>
      <c r="J13" s="405"/>
      <c r="K13" s="406"/>
      <c r="L13" s="406"/>
      <c r="M13" s="406"/>
      <c r="N13" s="406"/>
      <c r="O13" s="405"/>
      <c r="P13" s="405"/>
      <c r="Q13" s="413"/>
    </row>
    <row r="14" spans="1:17" s="309" customFormat="1" ht="42" customHeight="1">
      <c r="A14" s="406"/>
      <c r="B14" s="405"/>
      <c r="C14" s="414"/>
      <c r="D14" s="414"/>
      <c r="E14" s="405"/>
      <c r="F14" s="414"/>
      <c r="G14" s="405"/>
      <c r="H14" s="405"/>
      <c r="I14" s="405"/>
      <c r="J14" s="414"/>
      <c r="K14" s="310" t="s">
        <v>110</v>
      </c>
      <c r="L14" s="310" t="s">
        <v>111</v>
      </c>
      <c r="M14" s="310" t="s">
        <v>110</v>
      </c>
      <c r="N14" s="310" t="s">
        <v>111</v>
      </c>
      <c r="O14" s="405"/>
      <c r="P14" s="405"/>
      <c r="Q14" s="413"/>
    </row>
    <row r="15" spans="1:16" s="311" customFormat="1" ht="12.75">
      <c r="A15" s="186" t="s">
        <v>7</v>
      </c>
      <c r="B15" s="186">
        <v>1</v>
      </c>
      <c r="C15" s="186">
        <v>2</v>
      </c>
      <c r="D15" s="186">
        <v>3</v>
      </c>
      <c r="E15" s="186">
        <v>4</v>
      </c>
      <c r="F15" s="186">
        <v>5</v>
      </c>
      <c r="G15" s="186">
        <v>6</v>
      </c>
      <c r="H15" s="186">
        <v>7</v>
      </c>
      <c r="I15" s="186">
        <v>8</v>
      </c>
      <c r="J15" s="186">
        <v>10</v>
      </c>
      <c r="K15" s="186" t="s">
        <v>208</v>
      </c>
      <c r="L15" s="186" t="s">
        <v>209</v>
      </c>
      <c r="M15" s="186" t="s">
        <v>210</v>
      </c>
      <c r="N15" s="186" t="s">
        <v>211</v>
      </c>
      <c r="O15" s="186">
        <v>13</v>
      </c>
      <c r="P15" s="186">
        <v>14</v>
      </c>
    </row>
    <row r="16" spans="1:16" s="309" customFormat="1" ht="12.75">
      <c r="A16" s="188" t="s">
        <v>296</v>
      </c>
      <c r="B16" s="189"/>
      <c r="C16" s="113" t="s">
        <v>158</v>
      </c>
      <c r="D16" s="113" t="s">
        <v>158</v>
      </c>
      <c r="E16" s="113"/>
      <c r="F16" s="113" t="s">
        <v>158</v>
      </c>
      <c r="G16" s="113"/>
      <c r="H16" s="113"/>
      <c r="I16" s="113"/>
      <c r="J16" s="113" t="s">
        <v>158</v>
      </c>
      <c r="K16" s="113" t="s">
        <v>158</v>
      </c>
      <c r="L16" s="113"/>
      <c r="M16" s="113"/>
      <c r="N16" s="113" t="s">
        <v>158</v>
      </c>
      <c r="O16" s="113" t="s">
        <v>158</v>
      </c>
      <c r="P16" s="312"/>
    </row>
    <row r="17" spans="1:16" s="309" customFormat="1" ht="12.75">
      <c r="A17" s="113" t="s">
        <v>365</v>
      </c>
      <c r="B17" s="113"/>
      <c r="C17" s="113" t="s">
        <v>158</v>
      </c>
      <c r="D17" s="113" t="s">
        <v>158</v>
      </c>
      <c r="E17" s="113"/>
      <c r="F17" s="113" t="s">
        <v>158</v>
      </c>
      <c r="G17" s="113"/>
      <c r="H17" s="113"/>
      <c r="I17" s="113"/>
      <c r="J17" s="113" t="s">
        <v>158</v>
      </c>
      <c r="K17" s="113" t="s">
        <v>158</v>
      </c>
      <c r="L17" s="113"/>
      <c r="M17" s="113"/>
      <c r="N17" s="113" t="s">
        <v>158</v>
      </c>
      <c r="O17" s="113" t="s">
        <v>158</v>
      </c>
      <c r="P17" s="312"/>
    </row>
    <row r="18" spans="1:16" s="309" customFormat="1" ht="12.75">
      <c r="A18" s="313" t="s">
        <v>402</v>
      </c>
      <c r="B18" s="314"/>
      <c r="C18" s="314"/>
      <c r="D18" s="113"/>
      <c r="E18" s="113"/>
      <c r="F18" s="113"/>
      <c r="G18" s="113"/>
      <c r="H18" s="113"/>
      <c r="I18" s="113"/>
      <c r="J18" s="314"/>
      <c r="K18" s="113"/>
      <c r="L18" s="113"/>
      <c r="M18" s="113"/>
      <c r="N18" s="113"/>
      <c r="O18" s="314"/>
      <c r="P18" s="312"/>
    </row>
    <row r="19" spans="1:17" s="321" customFormat="1" ht="12.75">
      <c r="A19" s="276" t="s">
        <v>411</v>
      </c>
      <c r="B19" s="315" t="s">
        <v>410</v>
      </c>
      <c r="C19" s="316"/>
      <c r="D19" s="113"/>
      <c r="E19" s="113"/>
      <c r="F19" s="113"/>
      <c r="G19" s="113"/>
      <c r="H19" s="113"/>
      <c r="I19" s="445">
        <f>L19/1000</f>
        <v>0</v>
      </c>
      <c r="J19" s="317">
        <v>1.84</v>
      </c>
      <c r="K19" s="318">
        <v>4.34</v>
      </c>
      <c r="L19" s="242"/>
      <c r="M19" s="242"/>
      <c r="N19" s="242"/>
      <c r="O19" s="277">
        <f>J19+K19+L19</f>
        <v>6.18</v>
      </c>
      <c r="P19" s="319">
        <f>O19/2691182.52</f>
        <v>2.2963882806432614E-06</v>
      </c>
      <c r="Q19" s="320"/>
    </row>
    <row r="20" spans="1:17" s="321" customFormat="1" ht="12.75">
      <c r="A20" s="276" t="s">
        <v>412</v>
      </c>
      <c r="B20" s="322" t="s">
        <v>439</v>
      </c>
      <c r="C20" s="316"/>
      <c r="D20" s="113"/>
      <c r="E20" s="113"/>
      <c r="F20" s="113"/>
      <c r="G20" s="113"/>
      <c r="H20" s="113"/>
      <c r="I20" s="445">
        <f aca="true" t="shared" si="0" ref="I20:I45">L20/1000</f>
        <v>-0.0005600000000000001</v>
      </c>
      <c r="J20" s="317">
        <v>0.59</v>
      </c>
      <c r="K20" s="323"/>
      <c r="L20" s="318">
        <v>-0.56</v>
      </c>
      <c r="M20" s="242"/>
      <c r="N20" s="242"/>
      <c r="O20" s="277">
        <f aca="true" t="shared" si="1" ref="O20:O45">J20+K20+L20</f>
        <v>0.029999999999999916</v>
      </c>
      <c r="P20" s="319">
        <f aca="true" t="shared" si="2" ref="P20:P46">O20/2691182.52</f>
        <v>1.1147515925452694E-08</v>
      </c>
      <c r="Q20" s="320"/>
    </row>
    <row r="21" spans="1:17" s="325" customFormat="1" ht="12.75">
      <c r="A21" s="276" t="s">
        <v>442</v>
      </c>
      <c r="B21" s="322" t="s">
        <v>443</v>
      </c>
      <c r="C21" s="316"/>
      <c r="D21" s="188"/>
      <c r="E21" s="188"/>
      <c r="F21" s="113"/>
      <c r="G21" s="188"/>
      <c r="H21" s="188"/>
      <c r="I21" s="445">
        <f t="shared" si="0"/>
        <v>-7.70425</v>
      </c>
      <c r="J21" s="317">
        <v>76034.24</v>
      </c>
      <c r="K21" s="324"/>
      <c r="L21" s="318">
        <v>-7704.25</v>
      </c>
      <c r="M21" s="242"/>
      <c r="N21" s="242"/>
      <c r="O21" s="277">
        <f t="shared" si="1"/>
        <v>68329.99</v>
      </c>
      <c r="P21" s="319">
        <f t="shared" si="2"/>
        <v>0.025390321723700853</v>
      </c>
      <c r="Q21" s="320"/>
    </row>
    <row r="22" spans="1:17" s="325" customFormat="1" ht="12.75">
      <c r="A22" s="276" t="s">
        <v>414</v>
      </c>
      <c r="B22" s="322" t="s">
        <v>413</v>
      </c>
      <c r="C22" s="316"/>
      <c r="D22" s="188"/>
      <c r="E22" s="188"/>
      <c r="F22" s="113"/>
      <c r="G22" s="188"/>
      <c r="H22" s="188"/>
      <c r="I22" s="445">
        <f t="shared" si="0"/>
        <v>-0.0005600000000000001</v>
      </c>
      <c r="J22" s="317">
        <v>1.6</v>
      </c>
      <c r="K22" s="324"/>
      <c r="L22" s="318">
        <v>-0.56</v>
      </c>
      <c r="M22" s="242"/>
      <c r="N22" s="242"/>
      <c r="O22" s="277">
        <f t="shared" si="1"/>
        <v>1.04</v>
      </c>
      <c r="P22" s="319">
        <f t="shared" si="2"/>
        <v>3.8644721874902784E-07</v>
      </c>
      <c r="Q22" s="320"/>
    </row>
    <row r="23" spans="1:17" s="325" customFormat="1" ht="12.75">
      <c r="A23" s="276" t="s">
        <v>431</v>
      </c>
      <c r="B23" s="322" t="s">
        <v>464</v>
      </c>
      <c r="C23" s="316"/>
      <c r="D23" s="188"/>
      <c r="E23" s="188"/>
      <c r="F23" s="113"/>
      <c r="G23" s="188"/>
      <c r="H23" s="188"/>
      <c r="I23" s="445">
        <f t="shared" si="0"/>
        <v>0</v>
      </c>
      <c r="J23" s="317">
        <v>7.3</v>
      </c>
      <c r="K23" s="318">
        <v>10.7</v>
      </c>
      <c r="L23" s="242"/>
      <c r="M23" s="242"/>
      <c r="N23" s="242"/>
      <c r="O23" s="277">
        <f t="shared" si="1"/>
        <v>18</v>
      </c>
      <c r="P23" s="319">
        <f t="shared" si="2"/>
        <v>6.6885095552716355E-06</v>
      </c>
      <c r="Q23" s="320"/>
    </row>
    <row r="24" spans="1:17" s="325" customFormat="1" ht="12.75">
      <c r="A24" s="276" t="s">
        <v>432</v>
      </c>
      <c r="B24" s="322" t="s">
        <v>465</v>
      </c>
      <c r="C24" s="316"/>
      <c r="D24" s="188"/>
      <c r="E24" s="188"/>
      <c r="F24" s="113"/>
      <c r="G24" s="188"/>
      <c r="H24" s="188"/>
      <c r="I24" s="445">
        <f t="shared" si="0"/>
        <v>0</v>
      </c>
      <c r="J24" s="317">
        <v>22691.65</v>
      </c>
      <c r="K24" s="318">
        <v>3679.93</v>
      </c>
      <c r="L24" s="242"/>
      <c r="M24" s="242"/>
      <c r="N24" s="242"/>
      <c r="O24" s="277">
        <f t="shared" si="1"/>
        <v>26371.58</v>
      </c>
      <c r="P24" s="319">
        <f t="shared" si="2"/>
        <v>0.009799253600978355</v>
      </c>
      <c r="Q24" s="320"/>
    </row>
    <row r="25" spans="1:17" s="325" customFormat="1" ht="12.75">
      <c r="A25" s="276" t="s">
        <v>440</v>
      </c>
      <c r="B25" s="322" t="s">
        <v>441</v>
      </c>
      <c r="C25" s="316"/>
      <c r="D25" s="188"/>
      <c r="E25" s="188"/>
      <c r="F25" s="113"/>
      <c r="G25" s="188"/>
      <c r="H25" s="188"/>
      <c r="I25" s="445">
        <f t="shared" si="0"/>
        <v>0</v>
      </c>
      <c r="J25" s="317">
        <v>128833.88</v>
      </c>
      <c r="K25" s="318">
        <v>53173.42</v>
      </c>
      <c r="L25" s="242"/>
      <c r="M25" s="242"/>
      <c r="N25" s="242"/>
      <c r="O25" s="277">
        <f t="shared" si="1"/>
        <v>182007.3</v>
      </c>
      <c r="P25" s="319">
        <f t="shared" si="2"/>
        <v>0.0676309758432884</v>
      </c>
      <c r="Q25" s="320"/>
    </row>
    <row r="26" spans="1:17" s="325" customFormat="1" ht="12.75">
      <c r="A26" s="276" t="s">
        <v>462</v>
      </c>
      <c r="B26" s="322" t="s">
        <v>463</v>
      </c>
      <c r="C26" s="316"/>
      <c r="D26" s="188"/>
      <c r="E26" s="188"/>
      <c r="F26" s="113"/>
      <c r="G26" s="188"/>
      <c r="H26" s="188"/>
      <c r="I26" s="445">
        <f t="shared" si="0"/>
        <v>0</v>
      </c>
      <c r="J26" s="317">
        <v>51318.07</v>
      </c>
      <c r="K26" s="318">
        <v>2801.93</v>
      </c>
      <c r="L26" s="242"/>
      <c r="M26" s="242"/>
      <c r="N26" s="242"/>
      <c r="O26" s="277">
        <f t="shared" si="1"/>
        <v>54120</v>
      </c>
      <c r="P26" s="319">
        <f t="shared" si="2"/>
        <v>0.020110118729516718</v>
      </c>
      <c r="Q26" s="320"/>
    </row>
    <row r="27" spans="1:17" s="325" customFormat="1" ht="12.75">
      <c r="A27" s="276" t="s">
        <v>433</v>
      </c>
      <c r="B27" s="322" t="s">
        <v>460</v>
      </c>
      <c r="C27" s="316"/>
      <c r="D27" s="188"/>
      <c r="E27" s="188"/>
      <c r="F27" s="113"/>
      <c r="G27" s="188"/>
      <c r="H27" s="188"/>
      <c r="I27" s="445">
        <f t="shared" si="0"/>
        <v>0</v>
      </c>
      <c r="J27" s="317">
        <v>99885.56</v>
      </c>
      <c r="K27" s="318">
        <v>6722.23</v>
      </c>
      <c r="L27" s="242"/>
      <c r="M27" s="242"/>
      <c r="N27" s="242"/>
      <c r="O27" s="277">
        <f t="shared" si="1"/>
        <v>106607.79</v>
      </c>
      <c r="P27" s="319">
        <f t="shared" si="2"/>
        <v>0.03961373456007733</v>
      </c>
      <c r="Q27" s="320"/>
    </row>
    <row r="28" spans="1:17" s="325" customFormat="1" ht="12.75">
      <c r="A28" s="276" t="s">
        <v>429</v>
      </c>
      <c r="B28" s="322" t="s">
        <v>409</v>
      </c>
      <c r="C28" s="316"/>
      <c r="D28" s="188"/>
      <c r="E28" s="188"/>
      <c r="F28" s="113"/>
      <c r="G28" s="188"/>
      <c r="H28" s="188"/>
      <c r="I28" s="445">
        <f t="shared" si="0"/>
        <v>0</v>
      </c>
      <c r="J28" s="317">
        <v>20000</v>
      </c>
      <c r="K28" s="318">
        <v>17882.88</v>
      </c>
      <c r="L28" s="242"/>
      <c r="M28" s="242"/>
      <c r="N28" s="242"/>
      <c r="O28" s="277">
        <f t="shared" si="1"/>
        <v>37882.880000000005</v>
      </c>
      <c r="P28" s="319">
        <f t="shared" si="2"/>
        <v>0.01407666693673382</v>
      </c>
      <c r="Q28" s="320"/>
    </row>
    <row r="29" spans="1:17" s="325" customFormat="1" ht="12.75">
      <c r="A29" s="276" t="s">
        <v>417</v>
      </c>
      <c r="B29" s="322" t="s">
        <v>450</v>
      </c>
      <c r="C29" s="316"/>
      <c r="D29" s="188"/>
      <c r="E29" s="188"/>
      <c r="F29" s="113"/>
      <c r="G29" s="188"/>
      <c r="H29" s="188"/>
      <c r="I29" s="445">
        <f t="shared" si="0"/>
        <v>0</v>
      </c>
      <c r="J29" s="317">
        <v>0.67</v>
      </c>
      <c r="K29" s="318">
        <v>4.53</v>
      </c>
      <c r="L29" s="242"/>
      <c r="M29" s="242"/>
      <c r="N29" s="242"/>
      <c r="O29" s="277">
        <f t="shared" si="1"/>
        <v>5.2</v>
      </c>
      <c r="P29" s="319">
        <f t="shared" si="2"/>
        <v>1.9322360937451394E-06</v>
      </c>
      <c r="Q29" s="320"/>
    </row>
    <row r="30" spans="1:17" s="325" customFormat="1" ht="12.75">
      <c r="A30" s="276" t="s">
        <v>451</v>
      </c>
      <c r="B30" s="322" t="s">
        <v>452</v>
      </c>
      <c r="C30" s="316"/>
      <c r="D30" s="188"/>
      <c r="E30" s="188"/>
      <c r="F30" s="113"/>
      <c r="G30" s="188"/>
      <c r="H30" s="188"/>
      <c r="I30" s="445">
        <f t="shared" si="0"/>
        <v>0</v>
      </c>
      <c r="J30" s="317">
        <v>45528.5</v>
      </c>
      <c r="K30" s="318">
        <v>13093.19</v>
      </c>
      <c r="L30" s="242"/>
      <c r="M30" s="242"/>
      <c r="N30" s="242"/>
      <c r="O30" s="277">
        <f t="shared" si="1"/>
        <v>58621.69</v>
      </c>
      <c r="P30" s="319">
        <f t="shared" si="2"/>
        <v>0.021782874095065095</v>
      </c>
      <c r="Q30" s="320"/>
    </row>
    <row r="31" spans="1:17" s="325" customFormat="1" ht="12.75">
      <c r="A31" s="276" t="s">
        <v>446</v>
      </c>
      <c r="B31" s="322" t="s">
        <v>447</v>
      </c>
      <c r="C31" s="316"/>
      <c r="D31" s="188"/>
      <c r="E31" s="188"/>
      <c r="F31" s="113"/>
      <c r="G31" s="188"/>
      <c r="H31" s="188"/>
      <c r="I31" s="445">
        <f t="shared" si="0"/>
        <v>0</v>
      </c>
      <c r="J31" s="317">
        <v>105350</v>
      </c>
      <c r="K31" s="318">
        <v>67504</v>
      </c>
      <c r="L31" s="242"/>
      <c r="M31" s="242"/>
      <c r="N31" s="242"/>
      <c r="O31" s="277">
        <f t="shared" si="1"/>
        <v>172854</v>
      </c>
      <c r="P31" s="319">
        <f t="shared" si="2"/>
        <v>0.06422975725927352</v>
      </c>
      <c r="Q31" s="320"/>
    </row>
    <row r="32" spans="1:17" s="325" customFormat="1" ht="12.75">
      <c r="A32" s="276" t="s">
        <v>418</v>
      </c>
      <c r="B32" s="322" t="s">
        <v>453</v>
      </c>
      <c r="C32" s="316"/>
      <c r="D32" s="188"/>
      <c r="E32" s="188"/>
      <c r="F32" s="113"/>
      <c r="G32" s="188"/>
      <c r="H32" s="188"/>
      <c r="I32" s="445">
        <f t="shared" si="0"/>
        <v>0</v>
      </c>
      <c r="J32" s="317">
        <v>120707.67</v>
      </c>
      <c r="K32" s="318">
        <v>338215.79</v>
      </c>
      <c r="L32" s="242"/>
      <c r="M32" s="242"/>
      <c r="N32" s="242"/>
      <c r="O32" s="277">
        <f t="shared" si="1"/>
        <v>458923.45999999996</v>
      </c>
      <c r="P32" s="319">
        <f t="shared" si="2"/>
        <v>0.17052855263046224</v>
      </c>
      <c r="Q32" s="320"/>
    </row>
    <row r="33" spans="1:17" s="325" customFormat="1" ht="12.75">
      <c r="A33" s="276" t="s">
        <v>420</v>
      </c>
      <c r="B33" s="322" t="s">
        <v>419</v>
      </c>
      <c r="C33" s="316"/>
      <c r="D33" s="188"/>
      <c r="E33" s="188"/>
      <c r="F33" s="113"/>
      <c r="G33" s="188"/>
      <c r="H33" s="188"/>
      <c r="I33" s="445">
        <f t="shared" si="0"/>
        <v>0</v>
      </c>
      <c r="J33" s="317">
        <v>1.82</v>
      </c>
      <c r="K33" s="318">
        <v>28.78</v>
      </c>
      <c r="L33" s="242"/>
      <c r="M33" s="242"/>
      <c r="N33" s="242"/>
      <c r="O33" s="277">
        <f t="shared" si="1"/>
        <v>30.6</v>
      </c>
      <c r="P33" s="319">
        <f t="shared" si="2"/>
        <v>1.1370466243961782E-05</v>
      </c>
      <c r="Q33" s="320"/>
    </row>
    <row r="34" spans="1:17" s="325" customFormat="1" ht="12.75">
      <c r="A34" s="276" t="s">
        <v>454</v>
      </c>
      <c r="B34" s="322" t="s">
        <v>454</v>
      </c>
      <c r="C34" s="277"/>
      <c r="D34" s="188"/>
      <c r="E34" s="188"/>
      <c r="F34" s="113"/>
      <c r="G34" s="188"/>
      <c r="H34" s="188"/>
      <c r="I34" s="445">
        <f t="shared" si="0"/>
        <v>0</v>
      </c>
      <c r="J34" s="317">
        <v>195583</v>
      </c>
      <c r="K34" s="318">
        <v>0</v>
      </c>
      <c r="L34" s="242"/>
      <c r="M34" s="242"/>
      <c r="N34" s="242"/>
      <c r="O34" s="277">
        <f t="shared" si="1"/>
        <v>195583</v>
      </c>
      <c r="P34" s="319">
        <f t="shared" si="2"/>
        <v>0.07267548690826069</v>
      </c>
      <c r="Q34" s="320"/>
    </row>
    <row r="35" spans="1:17" s="321" customFormat="1" ht="12.75">
      <c r="A35" s="276" t="s">
        <v>421</v>
      </c>
      <c r="B35" s="326" t="s">
        <v>455</v>
      </c>
      <c r="C35" s="277"/>
      <c r="D35" s="113"/>
      <c r="E35" s="113"/>
      <c r="F35" s="113"/>
      <c r="G35" s="113"/>
      <c r="H35" s="113"/>
      <c r="I35" s="445">
        <f t="shared" si="0"/>
        <v>0</v>
      </c>
      <c r="J35" s="317">
        <v>0.6999999999999993</v>
      </c>
      <c r="K35" s="318">
        <v>19.54</v>
      </c>
      <c r="L35" s="242"/>
      <c r="M35" s="242"/>
      <c r="N35" s="314"/>
      <c r="O35" s="277">
        <f t="shared" si="1"/>
        <v>20.24</v>
      </c>
      <c r="P35" s="319">
        <f t="shared" si="2"/>
        <v>7.520857411038772E-06</v>
      </c>
      <c r="Q35" s="320"/>
    </row>
    <row r="36" spans="1:17" s="321" customFormat="1" ht="12.75">
      <c r="A36" s="276" t="s">
        <v>423</v>
      </c>
      <c r="B36" s="315" t="s">
        <v>422</v>
      </c>
      <c r="C36" s="277"/>
      <c r="D36" s="113"/>
      <c r="E36" s="113"/>
      <c r="F36" s="113"/>
      <c r="G36" s="113"/>
      <c r="H36" s="113"/>
      <c r="I36" s="445">
        <f t="shared" si="0"/>
        <v>0</v>
      </c>
      <c r="J36" s="317">
        <v>3.760000000000005</v>
      </c>
      <c r="K36" s="318">
        <v>107.19</v>
      </c>
      <c r="L36" s="242"/>
      <c r="M36" s="242"/>
      <c r="N36" s="242"/>
      <c r="O36" s="277">
        <f t="shared" si="1"/>
        <v>110.95</v>
      </c>
      <c r="P36" s="319">
        <f t="shared" si="2"/>
        <v>4.1227229730966E-05</v>
      </c>
      <c r="Q36" s="320"/>
    </row>
    <row r="37" spans="1:17" s="321" customFormat="1" ht="12.75">
      <c r="A37" s="276" t="s">
        <v>448</v>
      </c>
      <c r="B37" s="322" t="s">
        <v>449</v>
      </c>
      <c r="C37" s="277"/>
      <c r="D37" s="113"/>
      <c r="E37" s="113"/>
      <c r="F37" s="113"/>
      <c r="G37" s="113"/>
      <c r="H37" s="113"/>
      <c r="I37" s="445">
        <f t="shared" si="0"/>
        <v>0</v>
      </c>
      <c r="J37" s="317">
        <v>98051.42</v>
      </c>
      <c r="K37" s="318">
        <v>2741.649999999994</v>
      </c>
      <c r="L37" s="242"/>
      <c r="M37" s="242"/>
      <c r="N37" s="242"/>
      <c r="O37" s="277">
        <f t="shared" si="1"/>
        <v>100793.06999999999</v>
      </c>
      <c r="P37" s="319">
        <f t="shared" si="2"/>
        <v>0.03745307843334238</v>
      </c>
      <c r="Q37" s="320"/>
    </row>
    <row r="38" spans="1:17" s="321" customFormat="1" ht="12.75">
      <c r="A38" s="276" t="s">
        <v>428</v>
      </c>
      <c r="B38" s="322" t="s">
        <v>459</v>
      </c>
      <c r="C38" s="277"/>
      <c r="D38" s="113"/>
      <c r="E38" s="113"/>
      <c r="F38" s="113"/>
      <c r="G38" s="113"/>
      <c r="H38" s="113"/>
      <c r="I38" s="445">
        <f t="shared" si="0"/>
        <v>0</v>
      </c>
      <c r="J38" s="317">
        <v>0.8599999999999994</v>
      </c>
      <c r="K38" s="318">
        <v>29.78</v>
      </c>
      <c r="L38" s="242"/>
      <c r="M38" s="242"/>
      <c r="N38" s="242"/>
      <c r="O38" s="277">
        <f t="shared" si="1"/>
        <v>30.64</v>
      </c>
      <c r="P38" s="319">
        <f t="shared" si="2"/>
        <v>1.1385329598529051E-05</v>
      </c>
      <c r="Q38" s="320"/>
    </row>
    <row r="39" spans="1:17" s="321" customFormat="1" ht="12.75">
      <c r="A39" s="276" t="s">
        <v>427</v>
      </c>
      <c r="B39" s="322" t="s">
        <v>426</v>
      </c>
      <c r="C39" s="277"/>
      <c r="D39" s="113"/>
      <c r="E39" s="113"/>
      <c r="F39" s="113"/>
      <c r="G39" s="113"/>
      <c r="H39" s="113"/>
      <c r="I39" s="445">
        <f t="shared" si="0"/>
        <v>0</v>
      </c>
      <c r="J39" s="317">
        <v>0.9899999999999984</v>
      </c>
      <c r="K39" s="318">
        <v>20.84</v>
      </c>
      <c r="L39" s="242"/>
      <c r="M39" s="242"/>
      <c r="N39" s="242"/>
      <c r="O39" s="277">
        <f t="shared" si="1"/>
        <v>21.83</v>
      </c>
      <c r="P39" s="319">
        <f t="shared" si="2"/>
        <v>8.111675755087767E-06</v>
      </c>
      <c r="Q39" s="320"/>
    </row>
    <row r="40" spans="1:17" s="321" customFormat="1" ht="12.75">
      <c r="A40" s="276" t="s">
        <v>405</v>
      </c>
      <c r="B40" s="315" t="s">
        <v>458</v>
      </c>
      <c r="C40" s="277"/>
      <c r="D40" s="113"/>
      <c r="E40" s="113"/>
      <c r="F40" s="113"/>
      <c r="G40" s="113"/>
      <c r="H40" s="113"/>
      <c r="I40" s="445">
        <f t="shared" si="0"/>
        <v>0</v>
      </c>
      <c r="J40" s="317">
        <v>118452.76</v>
      </c>
      <c r="K40" s="318">
        <v>5810.960000000006</v>
      </c>
      <c r="L40" s="242"/>
      <c r="M40" s="242"/>
      <c r="N40" s="242"/>
      <c r="O40" s="277">
        <f t="shared" si="1"/>
        <v>124263.72</v>
      </c>
      <c r="P40" s="319">
        <f t="shared" si="2"/>
        <v>0.046174393255199946</v>
      </c>
      <c r="Q40" s="320"/>
    </row>
    <row r="41" spans="1:17" s="321" customFormat="1" ht="12.75">
      <c r="A41" s="276" t="s">
        <v>456</v>
      </c>
      <c r="B41" s="315" t="s">
        <v>457</v>
      </c>
      <c r="C41" s="277"/>
      <c r="D41" s="113"/>
      <c r="E41" s="113"/>
      <c r="F41" s="113"/>
      <c r="G41" s="113"/>
      <c r="H41" s="113"/>
      <c r="I41" s="445">
        <f t="shared" si="0"/>
        <v>0</v>
      </c>
      <c r="J41" s="317">
        <v>25718.36</v>
      </c>
      <c r="K41" s="318">
        <v>4656.37</v>
      </c>
      <c r="L41" s="242"/>
      <c r="M41" s="242"/>
      <c r="N41" s="242"/>
      <c r="O41" s="277">
        <f t="shared" si="1"/>
        <v>30374.73</v>
      </c>
      <c r="P41" s="319">
        <f t="shared" si="2"/>
        <v>0.011286759546877556</v>
      </c>
      <c r="Q41" s="320"/>
    </row>
    <row r="42" spans="1:17" s="321" customFormat="1" ht="13.5" customHeight="1">
      <c r="A42" s="276" t="s">
        <v>416</v>
      </c>
      <c r="B42" s="322" t="s">
        <v>415</v>
      </c>
      <c r="C42" s="277"/>
      <c r="D42" s="113"/>
      <c r="E42" s="113"/>
      <c r="F42" s="113"/>
      <c r="G42" s="113"/>
      <c r="H42" s="113"/>
      <c r="I42" s="445">
        <f t="shared" si="0"/>
        <v>0</v>
      </c>
      <c r="J42" s="317">
        <v>1</v>
      </c>
      <c r="K42" s="318">
        <v>0.1</v>
      </c>
      <c r="L42" s="242"/>
      <c r="M42" s="242"/>
      <c r="N42" s="242"/>
      <c r="O42" s="277">
        <f t="shared" si="1"/>
        <v>1.1</v>
      </c>
      <c r="P42" s="319">
        <f t="shared" si="2"/>
        <v>4.087422505999333E-07</v>
      </c>
      <c r="Q42" s="320"/>
    </row>
    <row r="43" spans="1:17" s="321" customFormat="1" ht="13.5" customHeight="1">
      <c r="A43" s="276" t="s">
        <v>444</v>
      </c>
      <c r="B43" s="322" t="s">
        <v>445</v>
      </c>
      <c r="C43" s="277"/>
      <c r="D43" s="113"/>
      <c r="E43" s="113"/>
      <c r="F43" s="113"/>
      <c r="G43" s="113"/>
      <c r="H43" s="113"/>
      <c r="I43" s="445">
        <f t="shared" si="0"/>
        <v>0</v>
      </c>
      <c r="J43" s="317">
        <v>88725.52</v>
      </c>
      <c r="K43" s="318">
        <v>8506.67</v>
      </c>
      <c r="L43" s="242"/>
      <c r="M43" s="242"/>
      <c r="N43" s="242"/>
      <c r="O43" s="277">
        <f t="shared" si="1"/>
        <v>97232.19</v>
      </c>
      <c r="P43" s="319">
        <f t="shared" si="2"/>
        <v>0.036129912883054845</v>
      </c>
      <c r="Q43" s="320"/>
    </row>
    <row r="44" spans="1:17" s="321" customFormat="1" ht="13.5" customHeight="1">
      <c r="A44" s="276" t="s">
        <v>425</v>
      </c>
      <c r="B44" s="322" t="s">
        <v>424</v>
      </c>
      <c r="C44" s="277"/>
      <c r="D44" s="113"/>
      <c r="E44" s="113"/>
      <c r="F44" s="113"/>
      <c r="G44" s="113"/>
      <c r="H44" s="113"/>
      <c r="I44" s="445">
        <f t="shared" si="0"/>
        <v>0</v>
      </c>
      <c r="J44" s="317">
        <v>0.99</v>
      </c>
      <c r="K44" s="318">
        <v>0.38</v>
      </c>
      <c r="L44" s="242"/>
      <c r="M44" s="242"/>
      <c r="N44" s="242"/>
      <c r="O44" s="277">
        <f t="shared" si="1"/>
        <v>1.37</v>
      </c>
      <c r="P44" s="319">
        <f t="shared" si="2"/>
        <v>5.090698939290078E-07</v>
      </c>
      <c r="Q44" s="320"/>
    </row>
    <row r="45" spans="1:17" s="321" customFormat="1" ht="13.5" customHeight="1">
      <c r="A45" s="276" t="s">
        <v>430</v>
      </c>
      <c r="B45" s="322" t="s">
        <v>461</v>
      </c>
      <c r="C45" s="277"/>
      <c r="D45" s="113"/>
      <c r="E45" s="113"/>
      <c r="F45" s="113"/>
      <c r="G45" s="113"/>
      <c r="H45" s="113"/>
      <c r="I45" s="445">
        <f t="shared" si="0"/>
        <v>0</v>
      </c>
      <c r="J45" s="317">
        <v>3.89</v>
      </c>
      <c r="K45" s="318">
        <v>53.35</v>
      </c>
      <c r="L45" s="242"/>
      <c r="M45" s="242"/>
      <c r="N45" s="242"/>
      <c r="O45" s="277">
        <f t="shared" si="1"/>
        <v>57.24</v>
      </c>
      <c r="P45" s="319">
        <f t="shared" si="2"/>
        <v>2.1269460385763803E-05</v>
      </c>
      <c r="Q45" s="320"/>
    </row>
    <row r="46" spans="1:16" s="331" customFormat="1" ht="12.75">
      <c r="A46" s="187" t="s">
        <v>215</v>
      </c>
      <c r="B46" s="188"/>
      <c r="C46" s="327">
        <f>SUM(C19:C45)</f>
        <v>0</v>
      </c>
      <c r="D46" s="188"/>
      <c r="E46" s="188"/>
      <c r="F46" s="188"/>
      <c r="G46" s="188"/>
      <c r="H46" s="188"/>
      <c r="I46" s="188"/>
      <c r="J46" s="328">
        <f>SUM(J19:J45)</f>
        <v>1196906.64</v>
      </c>
      <c r="K46" s="188"/>
      <c r="L46" s="188"/>
      <c r="M46" s="188"/>
      <c r="N46" s="188"/>
      <c r="O46" s="329">
        <f>SUM(O19:O45)</f>
        <v>1714269.82</v>
      </c>
      <c r="P46" s="319">
        <f t="shared" si="2"/>
        <v>0.6369950039657659</v>
      </c>
    </row>
    <row r="47" spans="1:16" s="309" customFormat="1" ht="12.75">
      <c r="A47" s="113" t="s">
        <v>297</v>
      </c>
      <c r="B47" s="113"/>
      <c r="C47" s="113" t="s">
        <v>158</v>
      </c>
      <c r="D47" s="113" t="s">
        <v>158</v>
      </c>
      <c r="E47" s="113"/>
      <c r="F47" s="113" t="s">
        <v>158</v>
      </c>
      <c r="G47" s="113"/>
      <c r="H47" s="113"/>
      <c r="I47" s="113"/>
      <c r="J47" s="113" t="s">
        <v>158</v>
      </c>
      <c r="K47" s="113" t="s">
        <v>158</v>
      </c>
      <c r="L47" s="113"/>
      <c r="M47" s="113"/>
      <c r="N47" s="113" t="s">
        <v>158</v>
      </c>
      <c r="O47" s="113" t="s">
        <v>158</v>
      </c>
      <c r="P47" s="312"/>
    </row>
    <row r="48" spans="1:16" s="331" customFormat="1" ht="12.75">
      <c r="A48" s="113" t="s">
        <v>196</v>
      </c>
      <c r="B48" s="113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330"/>
    </row>
    <row r="49" spans="1:16" s="331" customFormat="1" ht="12.75">
      <c r="A49" s="113"/>
      <c r="B49" s="317"/>
      <c r="C49" s="332"/>
      <c r="D49" s="188"/>
      <c r="E49" s="188"/>
      <c r="F49" s="113"/>
      <c r="G49" s="188"/>
      <c r="H49" s="188"/>
      <c r="I49" s="188"/>
      <c r="J49" s="188"/>
      <c r="K49" s="188"/>
      <c r="L49" s="188"/>
      <c r="M49" s="188"/>
      <c r="N49" s="333"/>
      <c r="O49" s="242">
        <f>SUM(J49:N49)</f>
        <v>0</v>
      </c>
      <c r="P49" s="319">
        <f>O49/2285674.89</f>
        <v>0</v>
      </c>
    </row>
    <row r="50" spans="1:16" s="331" customFormat="1" ht="12.75">
      <c r="A50" s="113"/>
      <c r="B50" s="113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330"/>
    </row>
    <row r="51" spans="1:16" s="331" customFormat="1" ht="12.75">
      <c r="A51" s="113"/>
      <c r="B51" s="113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330"/>
    </row>
    <row r="52" spans="1:16" s="331" customFormat="1" ht="12.75">
      <c r="A52" s="113" t="s">
        <v>197</v>
      </c>
      <c r="B52" s="113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330"/>
    </row>
    <row r="53" spans="1:16" s="331" customFormat="1" ht="12.75">
      <c r="A53" s="113"/>
      <c r="B53" s="113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330"/>
    </row>
    <row r="54" spans="1:16" s="331" customFormat="1" ht="12.75">
      <c r="A54" s="113"/>
      <c r="B54" s="113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330"/>
    </row>
    <row r="55" spans="1:16" s="331" customFormat="1" ht="12.75">
      <c r="A55" s="113" t="s">
        <v>198</v>
      </c>
      <c r="B55" s="113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330"/>
    </row>
    <row r="56" spans="1:16" s="331" customFormat="1" ht="12.75">
      <c r="A56" s="113"/>
      <c r="B56" s="113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330"/>
    </row>
    <row r="57" spans="1:16" s="331" customFormat="1" ht="12.75">
      <c r="A57" s="113"/>
      <c r="B57" s="113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330"/>
    </row>
    <row r="58" spans="1:16" s="331" customFormat="1" ht="12.75">
      <c r="A58" s="113"/>
      <c r="B58" s="113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330"/>
    </row>
    <row r="59" spans="1:16" s="331" customFormat="1" ht="12.75">
      <c r="A59" s="113"/>
      <c r="B59" s="113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330"/>
    </row>
    <row r="60" spans="1:16" s="331" customFormat="1" ht="12.75">
      <c r="A60" s="113"/>
      <c r="B60" s="113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330"/>
    </row>
    <row r="61" spans="1:16" s="331" customFormat="1" ht="12.75">
      <c r="A61" s="113"/>
      <c r="B61" s="113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330"/>
    </row>
    <row r="62" spans="1:16" s="331" customFormat="1" ht="12.75">
      <c r="A62" s="113" t="s">
        <v>199</v>
      </c>
      <c r="B62" s="113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330"/>
    </row>
    <row r="63" spans="1:16" s="331" customFormat="1" ht="12.75">
      <c r="A63" s="113"/>
      <c r="B63" s="113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330"/>
    </row>
    <row r="64" spans="1:16" s="331" customFormat="1" ht="12.75">
      <c r="A64" s="113"/>
      <c r="B64" s="113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330"/>
    </row>
    <row r="65" spans="1:16" s="331" customFormat="1" ht="12.75">
      <c r="A65" s="113"/>
      <c r="B65" s="113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330"/>
    </row>
    <row r="66" spans="1:16" s="331" customFormat="1" ht="12.75">
      <c r="A66" s="187" t="s">
        <v>216</v>
      </c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333"/>
      <c r="O66" s="329">
        <f>SUM(J66:N66)</f>
        <v>0</v>
      </c>
      <c r="P66" s="330"/>
    </row>
    <row r="67" spans="1:16" s="331" customFormat="1" ht="12.75">
      <c r="A67" s="113"/>
      <c r="B67" s="113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330"/>
    </row>
    <row r="68" spans="1:16" s="331" customFormat="1" ht="12.75">
      <c r="A68" s="113"/>
      <c r="B68" s="113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330"/>
    </row>
    <row r="69" spans="1:16" s="331" customFormat="1" ht="12.75">
      <c r="A69" s="113"/>
      <c r="B69" s="113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330"/>
    </row>
    <row r="70" spans="1:16" s="331" customFormat="1" ht="12.75">
      <c r="A70" s="113"/>
      <c r="B70" s="113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330"/>
    </row>
    <row r="71" spans="1:16" s="331" customFormat="1" ht="12.75">
      <c r="A71" s="113"/>
      <c r="B71" s="113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330"/>
    </row>
    <row r="72" spans="1:16" s="331" customFormat="1" ht="12.75">
      <c r="A72" s="113"/>
      <c r="B72" s="113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330"/>
    </row>
    <row r="73" spans="1:16" s="309" customFormat="1" ht="12.75">
      <c r="A73" s="334"/>
      <c r="B73" s="334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312"/>
    </row>
    <row r="74" spans="1:16" s="309" customFormat="1" ht="12.75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312"/>
    </row>
    <row r="75" spans="1:16" s="331" customFormat="1" ht="12.75">
      <c r="A75" s="187" t="s">
        <v>217</v>
      </c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330"/>
    </row>
    <row r="76" spans="1:16" s="309" customFormat="1" ht="38.25">
      <c r="A76" s="113" t="s">
        <v>298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312"/>
    </row>
    <row r="77" spans="1:16" s="309" customFormat="1" ht="12.75">
      <c r="A77" s="334"/>
      <c r="B77" s="334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312"/>
    </row>
    <row r="78" spans="1:16" s="309" customFormat="1" ht="12.75">
      <c r="A78" s="334"/>
      <c r="B78" s="334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312"/>
    </row>
    <row r="79" spans="1:16" s="309" customFormat="1" ht="12.75">
      <c r="A79" s="189"/>
      <c r="B79" s="189"/>
      <c r="C79" s="113" t="s">
        <v>158</v>
      </c>
      <c r="D79" s="113" t="s">
        <v>158</v>
      </c>
      <c r="E79" s="113"/>
      <c r="F79" s="113" t="s">
        <v>158</v>
      </c>
      <c r="G79" s="113"/>
      <c r="H79" s="113"/>
      <c r="I79" s="113"/>
      <c r="J79" s="113" t="s">
        <v>158</v>
      </c>
      <c r="K79" s="113" t="s">
        <v>158</v>
      </c>
      <c r="L79" s="113"/>
      <c r="M79" s="113"/>
      <c r="N79" s="113" t="s">
        <v>158</v>
      </c>
      <c r="O79" s="113" t="s">
        <v>158</v>
      </c>
      <c r="P79" s="312"/>
    </row>
    <row r="80" spans="1:16" s="309" customFormat="1" ht="12.75">
      <c r="A80" s="187" t="s">
        <v>299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312"/>
    </row>
    <row r="81" spans="1:16" s="309" customFormat="1" ht="13.5">
      <c r="A81" s="187" t="s">
        <v>308</v>
      </c>
      <c r="B81" s="189">
        <f>SUM(B80,B75,B66,B46)</f>
        <v>0</v>
      </c>
      <c r="C81" s="335">
        <f>SUM(C80,C75,C66,C46)</f>
        <v>0</v>
      </c>
      <c r="D81" s="189">
        <f aca="true" t="shared" si="3" ref="D81:P81">SUM(D80,D75,D66,D46)</f>
        <v>0</v>
      </c>
      <c r="E81" s="189">
        <f t="shared" si="3"/>
        <v>0</v>
      </c>
      <c r="F81" s="189">
        <f t="shared" si="3"/>
        <v>0</v>
      </c>
      <c r="G81" s="189">
        <f t="shared" si="3"/>
        <v>0</v>
      </c>
      <c r="H81" s="189">
        <f t="shared" si="3"/>
        <v>0</v>
      </c>
      <c r="I81" s="189">
        <f t="shared" si="3"/>
        <v>0</v>
      </c>
      <c r="J81" s="335">
        <f>SUM(J80,J75,J66,J46)</f>
        <v>1196906.64</v>
      </c>
      <c r="K81" s="189">
        <f t="shared" si="3"/>
        <v>0</v>
      </c>
      <c r="L81" s="189">
        <f t="shared" si="3"/>
        <v>0</v>
      </c>
      <c r="M81" s="189">
        <f t="shared" si="3"/>
        <v>0</v>
      </c>
      <c r="N81" s="336">
        <f t="shared" si="3"/>
        <v>0</v>
      </c>
      <c r="O81" s="337">
        <f t="shared" si="3"/>
        <v>1714269.82</v>
      </c>
      <c r="P81" s="189"/>
    </row>
    <row r="82" spans="1:16" s="309" customFormat="1" ht="12.75">
      <c r="A82" s="188" t="s">
        <v>300</v>
      </c>
      <c r="B82" s="189"/>
      <c r="C82" s="113" t="s">
        <v>158</v>
      </c>
      <c r="D82" s="113" t="s">
        <v>158</v>
      </c>
      <c r="E82" s="113"/>
      <c r="F82" s="113" t="s">
        <v>158</v>
      </c>
      <c r="G82" s="113"/>
      <c r="H82" s="113"/>
      <c r="I82" s="113"/>
      <c r="J82" s="113" t="s">
        <v>158</v>
      </c>
      <c r="K82" s="113" t="s">
        <v>158</v>
      </c>
      <c r="L82" s="113"/>
      <c r="M82" s="113"/>
      <c r="N82" s="113" t="s">
        <v>158</v>
      </c>
      <c r="O82" s="113" t="s">
        <v>158</v>
      </c>
      <c r="P82" s="312"/>
    </row>
    <row r="83" spans="1:16" s="309" customFormat="1" ht="25.5">
      <c r="A83" s="188" t="s">
        <v>301</v>
      </c>
      <c r="B83" s="189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312"/>
    </row>
    <row r="84" spans="1:16" s="309" customFormat="1" ht="12.75">
      <c r="A84" s="113" t="s">
        <v>365</v>
      </c>
      <c r="B84" s="113"/>
      <c r="C84" s="113" t="s">
        <v>158</v>
      </c>
      <c r="D84" s="113" t="s">
        <v>158</v>
      </c>
      <c r="E84" s="113"/>
      <c r="F84" s="113" t="s">
        <v>158</v>
      </c>
      <c r="G84" s="113"/>
      <c r="H84" s="113"/>
      <c r="I84" s="113"/>
      <c r="J84" s="113" t="s">
        <v>158</v>
      </c>
      <c r="K84" s="113" t="s">
        <v>158</v>
      </c>
      <c r="L84" s="113"/>
      <c r="M84" s="113"/>
      <c r="N84" s="113" t="s">
        <v>158</v>
      </c>
      <c r="O84" s="113" t="s">
        <v>158</v>
      </c>
      <c r="P84" s="312"/>
    </row>
    <row r="85" spans="1:16" s="331" customFormat="1" ht="12.75">
      <c r="A85" s="338"/>
      <c r="B85" s="33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330"/>
    </row>
    <row r="86" spans="1:16" s="331" customFormat="1" ht="12.75">
      <c r="A86" s="338"/>
      <c r="B86" s="33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330"/>
    </row>
    <row r="87" spans="1:16" s="331" customFormat="1" ht="12.75">
      <c r="A87" s="338"/>
      <c r="B87" s="33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330"/>
    </row>
    <row r="88" spans="1:16" s="331" customFormat="1" ht="12.75">
      <c r="A88" s="187" t="s">
        <v>219</v>
      </c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330"/>
    </row>
    <row r="89" spans="1:16" s="309" customFormat="1" ht="12.75">
      <c r="A89" s="113" t="s">
        <v>302</v>
      </c>
      <c r="B89" s="113"/>
      <c r="C89" s="113" t="s">
        <v>158</v>
      </c>
      <c r="D89" s="113" t="s">
        <v>158</v>
      </c>
      <c r="E89" s="113"/>
      <c r="F89" s="113" t="s">
        <v>158</v>
      </c>
      <c r="G89" s="113"/>
      <c r="H89" s="113"/>
      <c r="I89" s="113"/>
      <c r="J89" s="113" t="s">
        <v>158</v>
      </c>
      <c r="K89" s="113" t="s">
        <v>158</v>
      </c>
      <c r="L89" s="113"/>
      <c r="M89" s="113"/>
      <c r="N89" s="113" t="s">
        <v>158</v>
      </c>
      <c r="O89" s="113" t="s">
        <v>158</v>
      </c>
      <c r="P89" s="312"/>
    </row>
    <row r="90" spans="1:16" s="309" customFormat="1" ht="12.75">
      <c r="A90" s="113" t="s">
        <v>303</v>
      </c>
      <c r="B90" s="113"/>
      <c r="C90" s="113" t="s">
        <v>158</v>
      </c>
      <c r="D90" s="113" t="s">
        <v>158</v>
      </c>
      <c r="E90" s="113"/>
      <c r="F90" s="113" t="s">
        <v>158</v>
      </c>
      <c r="G90" s="113"/>
      <c r="H90" s="113"/>
      <c r="I90" s="113"/>
      <c r="J90" s="113" t="s">
        <v>158</v>
      </c>
      <c r="K90" s="113" t="s">
        <v>158</v>
      </c>
      <c r="L90" s="113"/>
      <c r="M90" s="113"/>
      <c r="N90" s="113" t="s">
        <v>158</v>
      </c>
      <c r="O90" s="113" t="s">
        <v>158</v>
      </c>
      <c r="P90" s="312"/>
    </row>
    <row r="91" spans="1:16" s="331" customFormat="1" ht="12.75">
      <c r="A91" s="113" t="s">
        <v>196</v>
      </c>
      <c r="B91" s="113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330"/>
    </row>
    <row r="92" spans="1:16" s="331" customFormat="1" ht="12.75">
      <c r="A92" s="113"/>
      <c r="B92" s="113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330"/>
    </row>
    <row r="93" spans="1:16" s="331" customFormat="1" ht="12.75">
      <c r="A93" s="113"/>
      <c r="B93" s="113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330"/>
    </row>
    <row r="94" spans="1:16" s="331" customFormat="1" ht="12.75">
      <c r="A94" s="113"/>
      <c r="B94" s="113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330"/>
    </row>
    <row r="95" spans="1:16" s="331" customFormat="1" ht="12.75">
      <c r="A95" s="113" t="s">
        <v>197</v>
      </c>
      <c r="B95" s="113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330"/>
    </row>
    <row r="96" spans="1:16" s="331" customFormat="1" ht="12.75">
      <c r="A96" s="113"/>
      <c r="B96" s="113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330"/>
    </row>
    <row r="97" spans="1:16" s="331" customFormat="1" ht="12.75">
      <c r="A97" s="113"/>
      <c r="B97" s="113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330"/>
    </row>
    <row r="98" spans="1:16" s="331" customFormat="1" ht="12.75">
      <c r="A98" s="113"/>
      <c r="B98" s="113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330"/>
    </row>
    <row r="99" spans="1:16" s="331" customFormat="1" ht="12.75">
      <c r="A99" s="113" t="s">
        <v>198</v>
      </c>
      <c r="B99" s="113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330"/>
    </row>
    <row r="100" spans="1:16" s="331" customFormat="1" ht="12.75">
      <c r="A100" s="113"/>
      <c r="B100" s="113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330"/>
    </row>
    <row r="101" spans="1:16" s="331" customFormat="1" ht="12.75">
      <c r="A101" s="113"/>
      <c r="B101" s="113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330"/>
    </row>
    <row r="102" spans="1:16" s="331" customFormat="1" ht="12.75">
      <c r="A102" s="113" t="s">
        <v>199</v>
      </c>
      <c r="B102" s="113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330"/>
    </row>
    <row r="103" spans="1:16" s="331" customFormat="1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330"/>
    </row>
    <row r="104" spans="1:16" s="331" customFormat="1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330"/>
    </row>
    <row r="105" spans="1:16" s="331" customFormat="1" ht="12.75">
      <c r="A105" s="187" t="s">
        <v>220</v>
      </c>
      <c r="B105" s="33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330"/>
    </row>
    <row r="106" spans="1:16" s="309" customFormat="1" ht="25.5">
      <c r="A106" s="113" t="s">
        <v>310</v>
      </c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312"/>
    </row>
    <row r="107" spans="1:16" s="331" customFormat="1" ht="12.75">
      <c r="A107" s="113" t="s">
        <v>200</v>
      </c>
      <c r="B107" s="113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330"/>
    </row>
    <row r="108" spans="1:16" s="331" customFormat="1" ht="12.75">
      <c r="A108" s="189"/>
      <c r="B108" s="189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330"/>
    </row>
    <row r="109" spans="1:16" s="331" customFormat="1" ht="12.75">
      <c r="A109" s="113" t="s">
        <v>304</v>
      </c>
      <c r="B109" s="113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330"/>
    </row>
    <row r="110" spans="1:16" s="331" customFormat="1" ht="12.75">
      <c r="A110" s="189"/>
      <c r="B110" s="189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330"/>
    </row>
    <row r="111" spans="1:16" s="331" customFormat="1" ht="12.75">
      <c r="A111" s="113" t="s">
        <v>21</v>
      </c>
      <c r="B111" s="113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330"/>
    </row>
    <row r="112" spans="1:16" s="331" customFormat="1" ht="13.5">
      <c r="A112" s="336"/>
      <c r="B112" s="336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330"/>
    </row>
    <row r="113" spans="1:16" s="331" customFormat="1" ht="13.5">
      <c r="A113" s="187" t="s">
        <v>307</v>
      </c>
      <c r="B113" s="336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330"/>
    </row>
    <row r="114" spans="1:16" s="309" customFormat="1" ht="12.75">
      <c r="A114" s="113" t="s">
        <v>305</v>
      </c>
      <c r="B114" s="113"/>
      <c r="C114" s="113" t="s">
        <v>158</v>
      </c>
      <c r="D114" s="113" t="s">
        <v>158</v>
      </c>
      <c r="E114" s="113"/>
      <c r="F114" s="113" t="s">
        <v>158</v>
      </c>
      <c r="G114" s="113"/>
      <c r="H114" s="113"/>
      <c r="I114" s="113"/>
      <c r="J114" s="113" t="s">
        <v>158</v>
      </c>
      <c r="K114" s="113" t="s">
        <v>158</v>
      </c>
      <c r="L114" s="113"/>
      <c r="M114" s="113"/>
      <c r="N114" s="113" t="s">
        <v>158</v>
      </c>
      <c r="O114" s="113" t="s">
        <v>158</v>
      </c>
      <c r="P114" s="312"/>
    </row>
    <row r="115" spans="1:16" s="309" customFormat="1" ht="12.75">
      <c r="A115" s="189" t="s">
        <v>401</v>
      </c>
      <c r="B115" s="334"/>
      <c r="C115" s="261"/>
      <c r="D115" s="261"/>
      <c r="E115" s="261"/>
      <c r="F115" s="261"/>
      <c r="G115" s="261"/>
      <c r="H115" s="261"/>
      <c r="I115" s="261"/>
      <c r="J115" s="261"/>
      <c r="K115" s="261"/>
      <c r="L115" s="261"/>
      <c r="M115" s="261"/>
      <c r="N115" s="261"/>
      <c r="O115" s="261">
        <f>J115+K115</f>
        <v>0</v>
      </c>
      <c r="P115" s="261">
        <f>O115</f>
        <v>0</v>
      </c>
    </row>
    <row r="116" spans="1:16" s="309" customFormat="1" ht="12.75">
      <c r="A116" s="113"/>
      <c r="B116" s="113"/>
      <c r="C116" s="261"/>
      <c r="D116" s="261"/>
      <c r="E116" s="261"/>
      <c r="F116" s="261"/>
      <c r="G116" s="261"/>
      <c r="H116" s="261"/>
      <c r="I116" s="261"/>
      <c r="J116" s="261"/>
      <c r="K116" s="261"/>
      <c r="L116" s="261"/>
      <c r="M116" s="261"/>
      <c r="N116" s="261"/>
      <c r="O116" s="261"/>
      <c r="P116" s="261"/>
    </row>
    <row r="117" spans="1:16" s="309" customFormat="1" ht="12.75">
      <c r="A117" s="113"/>
      <c r="B117" s="113"/>
      <c r="C117" s="261"/>
      <c r="D117" s="261"/>
      <c r="E117" s="261"/>
      <c r="F117" s="261"/>
      <c r="G117" s="261"/>
      <c r="H117" s="261"/>
      <c r="I117" s="261"/>
      <c r="J117" s="261"/>
      <c r="K117" s="261"/>
      <c r="L117" s="261"/>
      <c r="M117" s="261"/>
      <c r="N117" s="261"/>
      <c r="O117" s="261"/>
      <c r="P117" s="261"/>
    </row>
    <row r="118" spans="1:16" s="309" customFormat="1" ht="12.75">
      <c r="A118" s="187" t="s">
        <v>315</v>
      </c>
      <c r="B118" s="113"/>
      <c r="C118" s="261">
        <f>C115</f>
        <v>0</v>
      </c>
      <c r="D118" s="261">
        <f aca="true" t="shared" si="4" ref="D118:P118">D115</f>
        <v>0</v>
      </c>
      <c r="E118" s="261">
        <f t="shared" si="4"/>
        <v>0</v>
      </c>
      <c r="F118" s="261">
        <f t="shared" si="4"/>
        <v>0</v>
      </c>
      <c r="G118" s="261">
        <f t="shared" si="4"/>
        <v>0</v>
      </c>
      <c r="H118" s="261">
        <f t="shared" si="4"/>
        <v>0</v>
      </c>
      <c r="I118" s="261">
        <f t="shared" si="4"/>
        <v>0</v>
      </c>
      <c r="J118" s="261">
        <f t="shared" si="4"/>
        <v>0</v>
      </c>
      <c r="K118" s="261">
        <f t="shared" si="4"/>
        <v>0</v>
      </c>
      <c r="L118" s="261">
        <f t="shared" si="4"/>
        <v>0</v>
      </c>
      <c r="M118" s="261">
        <f t="shared" si="4"/>
        <v>0</v>
      </c>
      <c r="N118" s="261">
        <f t="shared" si="4"/>
        <v>0</v>
      </c>
      <c r="O118" s="261">
        <f t="shared" si="4"/>
        <v>0</v>
      </c>
      <c r="P118" s="261">
        <f t="shared" si="4"/>
        <v>0</v>
      </c>
    </row>
    <row r="119" spans="1:16" s="309" customFormat="1" ht="12.75">
      <c r="A119" s="339" t="s">
        <v>237</v>
      </c>
      <c r="B119" s="113"/>
      <c r="C119" s="340">
        <f>SUM(C118,C113,C105,C89,C88)</f>
        <v>0</v>
      </c>
      <c r="D119" s="340">
        <f aca="true" t="shared" si="5" ref="D119:P119">SUM(D118,D113,D105,D89,D88)</f>
        <v>0</v>
      </c>
      <c r="E119" s="340">
        <f t="shared" si="5"/>
        <v>0</v>
      </c>
      <c r="F119" s="340">
        <f t="shared" si="5"/>
        <v>0</v>
      </c>
      <c r="G119" s="340">
        <f t="shared" si="5"/>
        <v>0</v>
      </c>
      <c r="H119" s="340">
        <f t="shared" si="5"/>
        <v>0</v>
      </c>
      <c r="I119" s="340">
        <f t="shared" si="5"/>
        <v>0</v>
      </c>
      <c r="J119" s="340">
        <f t="shared" si="5"/>
        <v>0</v>
      </c>
      <c r="K119" s="340">
        <f t="shared" si="5"/>
        <v>0</v>
      </c>
      <c r="L119" s="340">
        <f t="shared" si="5"/>
        <v>0</v>
      </c>
      <c r="M119" s="340">
        <f t="shared" si="5"/>
        <v>0</v>
      </c>
      <c r="N119" s="340">
        <f t="shared" si="5"/>
        <v>0</v>
      </c>
      <c r="O119" s="340">
        <f t="shared" si="5"/>
        <v>0</v>
      </c>
      <c r="P119" s="340">
        <f t="shared" si="5"/>
        <v>0</v>
      </c>
    </row>
    <row r="120" spans="1:16" s="309" customFormat="1" ht="25.5">
      <c r="A120" s="341" t="s">
        <v>306</v>
      </c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312"/>
    </row>
    <row r="121" spans="1:16" s="309" customFormat="1" ht="12.75">
      <c r="A121" s="113" t="s">
        <v>365</v>
      </c>
      <c r="B121" s="113"/>
      <c r="C121" s="113" t="s">
        <v>158</v>
      </c>
      <c r="D121" s="113" t="s">
        <v>158</v>
      </c>
      <c r="E121" s="113"/>
      <c r="F121" s="113" t="s">
        <v>158</v>
      </c>
      <c r="G121" s="113"/>
      <c r="H121" s="113"/>
      <c r="I121" s="113"/>
      <c r="J121" s="113" t="s">
        <v>158</v>
      </c>
      <c r="K121" s="113" t="s">
        <v>158</v>
      </c>
      <c r="L121" s="113"/>
      <c r="M121" s="113"/>
      <c r="N121" s="113" t="s">
        <v>158</v>
      </c>
      <c r="O121" s="113" t="s">
        <v>158</v>
      </c>
      <c r="P121" s="312"/>
    </row>
    <row r="122" spans="1:16" s="331" customFormat="1" ht="12.75">
      <c r="A122" s="338"/>
      <c r="B122" s="33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330"/>
    </row>
    <row r="123" spans="1:16" s="331" customFormat="1" ht="12.75">
      <c r="A123" s="338"/>
      <c r="B123" s="33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330"/>
    </row>
    <row r="124" spans="1:16" s="331" customFormat="1" ht="12.75">
      <c r="A124" s="338"/>
      <c r="B124" s="33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330"/>
    </row>
    <row r="125" spans="1:16" s="331" customFormat="1" ht="12.75">
      <c r="A125" s="187" t="s">
        <v>219</v>
      </c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330"/>
    </row>
    <row r="126" spans="1:16" s="309" customFormat="1" ht="12.75">
      <c r="A126" s="113" t="s">
        <v>302</v>
      </c>
      <c r="B126" s="113"/>
      <c r="C126" s="113" t="s">
        <v>158</v>
      </c>
      <c r="D126" s="113" t="s">
        <v>158</v>
      </c>
      <c r="E126" s="113"/>
      <c r="F126" s="113" t="s">
        <v>158</v>
      </c>
      <c r="G126" s="113"/>
      <c r="H126" s="113"/>
      <c r="I126" s="113"/>
      <c r="J126" s="113" t="s">
        <v>158</v>
      </c>
      <c r="K126" s="113" t="s">
        <v>158</v>
      </c>
      <c r="L126" s="113"/>
      <c r="M126" s="113"/>
      <c r="N126" s="113" t="s">
        <v>158</v>
      </c>
      <c r="O126" s="113" t="s">
        <v>158</v>
      </c>
      <c r="P126" s="312"/>
    </row>
    <row r="127" spans="1:16" s="309" customFormat="1" ht="12.75">
      <c r="A127" s="113" t="s">
        <v>303</v>
      </c>
      <c r="B127" s="113"/>
      <c r="C127" s="113" t="s">
        <v>158</v>
      </c>
      <c r="D127" s="113" t="s">
        <v>158</v>
      </c>
      <c r="E127" s="113"/>
      <c r="F127" s="113" t="s">
        <v>158</v>
      </c>
      <c r="G127" s="113"/>
      <c r="H127" s="113"/>
      <c r="I127" s="113"/>
      <c r="J127" s="113" t="s">
        <v>158</v>
      </c>
      <c r="K127" s="113" t="s">
        <v>158</v>
      </c>
      <c r="L127" s="113"/>
      <c r="M127" s="113"/>
      <c r="N127" s="113" t="s">
        <v>158</v>
      </c>
      <c r="O127" s="113" t="s">
        <v>158</v>
      </c>
      <c r="P127" s="312"/>
    </row>
    <row r="128" spans="1:16" s="331" customFormat="1" ht="12.75">
      <c r="A128" s="113" t="s">
        <v>196</v>
      </c>
      <c r="B128" s="113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330"/>
    </row>
    <row r="129" spans="1:16" s="331" customFormat="1" ht="12.75">
      <c r="A129" s="113"/>
      <c r="B129" s="113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330"/>
    </row>
    <row r="130" spans="1:16" s="331" customFormat="1" ht="12.75">
      <c r="A130" s="113"/>
      <c r="B130" s="113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330"/>
    </row>
    <row r="131" spans="1:16" s="331" customFormat="1" ht="12.75">
      <c r="A131" s="113"/>
      <c r="B131" s="113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330"/>
    </row>
    <row r="132" spans="1:16" s="331" customFormat="1" ht="12.75">
      <c r="A132" s="113" t="s">
        <v>197</v>
      </c>
      <c r="B132" s="113"/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330"/>
    </row>
    <row r="133" spans="1:16" s="331" customFormat="1" ht="12.75">
      <c r="A133" s="113"/>
      <c r="B133" s="113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330"/>
    </row>
    <row r="134" spans="1:16" s="331" customFormat="1" ht="12.75">
      <c r="A134" s="113"/>
      <c r="B134" s="113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330"/>
    </row>
    <row r="135" spans="1:16" s="331" customFormat="1" ht="12.75">
      <c r="A135" s="113"/>
      <c r="B135" s="113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330"/>
    </row>
    <row r="136" spans="1:16" s="331" customFormat="1" ht="12.75">
      <c r="A136" s="113" t="s">
        <v>198</v>
      </c>
      <c r="B136" s="113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330"/>
    </row>
    <row r="137" spans="1:16" s="331" customFormat="1" ht="12.75">
      <c r="A137" s="113"/>
      <c r="B137" s="113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330"/>
    </row>
    <row r="138" spans="1:16" s="331" customFormat="1" ht="12.75">
      <c r="A138" s="113"/>
      <c r="B138" s="113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330"/>
    </row>
    <row r="139" spans="1:16" s="331" customFormat="1" ht="12.75">
      <c r="A139" s="113" t="s">
        <v>199</v>
      </c>
      <c r="B139" s="113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330"/>
    </row>
    <row r="140" spans="1:16" s="331" customFormat="1" ht="12.75">
      <c r="A140" s="188"/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330"/>
    </row>
    <row r="141" spans="1:16" s="331" customFormat="1" ht="12.75">
      <c r="A141" s="188"/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330"/>
    </row>
    <row r="142" spans="1:16" s="331" customFormat="1" ht="12.75">
      <c r="A142" s="187" t="s">
        <v>220</v>
      </c>
      <c r="B142" s="338"/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330"/>
    </row>
    <row r="143" spans="1:16" s="309" customFormat="1" ht="12.75">
      <c r="A143" s="113" t="s">
        <v>369</v>
      </c>
      <c r="B143" s="113"/>
      <c r="C143" s="113" t="s">
        <v>158</v>
      </c>
      <c r="D143" s="113" t="s">
        <v>158</v>
      </c>
      <c r="E143" s="113"/>
      <c r="F143" s="113" t="s">
        <v>158</v>
      </c>
      <c r="G143" s="113"/>
      <c r="H143" s="113"/>
      <c r="I143" s="113"/>
      <c r="J143" s="113" t="s">
        <v>158</v>
      </c>
      <c r="K143" s="113" t="s">
        <v>158</v>
      </c>
      <c r="L143" s="113"/>
      <c r="M143" s="113"/>
      <c r="N143" s="113" t="s">
        <v>158</v>
      </c>
      <c r="O143" s="113" t="s">
        <v>158</v>
      </c>
      <c r="P143" s="312"/>
    </row>
    <row r="144" spans="1:16" s="309" customFormat="1" ht="12.75">
      <c r="A144" s="334"/>
      <c r="B144" s="334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312"/>
    </row>
    <row r="145" spans="1:16" s="309" customFormat="1" ht="12.75">
      <c r="A145" s="113"/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312"/>
    </row>
    <row r="146" spans="1:16" s="309" customFormat="1" ht="12.75">
      <c r="A146" s="113"/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312"/>
    </row>
    <row r="147" spans="1:16" s="309" customFormat="1" ht="12.75">
      <c r="A147" s="187" t="s">
        <v>307</v>
      </c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312"/>
    </row>
    <row r="148" spans="1:16" s="309" customFormat="1" ht="12.75">
      <c r="A148" s="339" t="s">
        <v>238</v>
      </c>
      <c r="B148" s="113"/>
      <c r="C148" s="113" t="s">
        <v>158</v>
      </c>
      <c r="D148" s="113" t="s">
        <v>158</v>
      </c>
      <c r="E148" s="113"/>
      <c r="F148" s="113" t="s">
        <v>158</v>
      </c>
      <c r="G148" s="113"/>
      <c r="H148" s="113"/>
      <c r="I148" s="113"/>
      <c r="J148" s="113" t="s">
        <v>158</v>
      </c>
      <c r="K148" s="113" t="s">
        <v>158</v>
      </c>
      <c r="L148" s="113"/>
      <c r="M148" s="113"/>
      <c r="N148" s="113" t="s">
        <v>158</v>
      </c>
      <c r="O148" s="113" t="s">
        <v>158</v>
      </c>
      <c r="P148" s="312"/>
    </row>
    <row r="149" spans="1:16" s="309" customFormat="1" ht="12.75">
      <c r="A149" s="187" t="s">
        <v>309</v>
      </c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312"/>
    </row>
    <row r="150" spans="1:15" ht="12.75">
      <c r="A150" s="417" t="s">
        <v>366</v>
      </c>
      <c r="B150" s="415"/>
      <c r="C150" s="415"/>
      <c r="D150" s="415"/>
      <c r="E150" s="415"/>
      <c r="F150" s="415"/>
      <c r="G150" s="415"/>
      <c r="H150" s="415"/>
      <c r="I150" s="415"/>
      <c r="J150" s="415"/>
      <c r="K150" s="415"/>
      <c r="L150" s="415"/>
      <c r="M150" s="415"/>
      <c r="N150" s="415"/>
      <c r="O150" s="343"/>
    </row>
    <row r="151" spans="1:15" ht="12.75">
      <c r="A151" s="342"/>
      <c r="B151" s="343"/>
      <c r="C151" s="343"/>
      <c r="D151" s="343"/>
      <c r="E151" s="343"/>
      <c r="F151" s="343"/>
      <c r="G151" s="343"/>
      <c r="H151" s="343"/>
      <c r="I151" s="343"/>
      <c r="J151" s="343"/>
      <c r="K151" s="343"/>
      <c r="L151" s="343"/>
      <c r="M151" s="343"/>
      <c r="N151" s="343"/>
      <c r="O151" s="343"/>
    </row>
    <row r="152" spans="1:15" ht="12.75">
      <c r="A152" s="342"/>
      <c r="B152" s="343"/>
      <c r="C152" s="343"/>
      <c r="D152" s="343"/>
      <c r="E152" s="343"/>
      <c r="F152" s="343"/>
      <c r="G152" s="343"/>
      <c r="H152" s="343"/>
      <c r="I152" s="343"/>
      <c r="J152" s="343"/>
      <c r="K152" s="343"/>
      <c r="L152" s="343"/>
      <c r="M152" s="343"/>
      <c r="N152" s="343"/>
      <c r="O152" s="343"/>
    </row>
    <row r="153" spans="1:15" ht="12.75">
      <c r="A153" s="342"/>
      <c r="B153" s="343"/>
      <c r="C153" s="343"/>
      <c r="D153" s="343"/>
      <c r="E153" s="343"/>
      <c r="F153" s="343"/>
      <c r="G153" s="343"/>
      <c r="H153" s="343"/>
      <c r="I153" s="343"/>
      <c r="J153" s="343"/>
      <c r="K153" s="343"/>
      <c r="L153" s="343"/>
      <c r="M153" s="343"/>
      <c r="N153" s="343"/>
      <c r="O153" s="343"/>
    </row>
    <row r="154" spans="1:15" ht="12.75">
      <c r="A154" s="342"/>
      <c r="B154" s="343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</row>
    <row r="155" spans="1:13" s="309" customFormat="1" ht="12">
      <c r="A155" s="344"/>
      <c r="B155" s="344"/>
      <c r="C155" s="344"/>
      <c r="D155" s="344"/>
      <c r="E155" s="344"/>
      <c r="F155" s="344"/>
      <c r="G155" s="344"/>
      <c r="H155" s="344"/>
      <c r="I155" s="344"/>
      <c r="J155" s="344"/>
      <c r="K155" s="345"/>
      <c r="L155" s="345"/>
      <c r="M155" s="345"/>
    </row>
    <row r="156" spans="1:15" ht="12.75">
      <c r="A156" s="127" t="s">
        <v>435</v>
      </c>
      <c r="B156" s="343"/>
      <c r="C156" s="346"/>
      <c r="D156" s="303"/>
      <c r="E156" s="346" t="s">
        <v>201</v>
      </c>
      <c r="F156" s="303"/>
      <c r="G156" s="303"/>
      <c r="H156" s="303"/>
      <c r="I156" s="303"/>
      <c r="J156" s="304"/>
      <c r="K156" s="415" t="s">
        <v>202</v>
      </c>
      <c r="L156" s="415"/>
      <c r="M156" s="415"/>
      <c r="N156" s="303"/>
      <c r="O156" s="303"/>
    </row>
    <row r="157" spans="1:13" s="309" customFormat="1" ht="12">
      <c r="A157" s="344"/>
      <c r="B157" s="344"/>
      <c r="C157" s="344"/>
      <c r="D157" s="344"/>
      <c r="E157" s="344"/>
      <c r="F157" s="344"/>
      <c r="G157" s="344"/>
      <c r="H157" s="344"/>
      <c r="I157" s="344"/>
      <c r="J157" s="344"/>
      <c r="K157" s="345"/>
      <c r="L157" s="345"/>
      <c r="M157" s="345"/>
    </row>
    <row r="158" spans="1:13" s="309" customFormat="1" ht="12">
      <c r="A158" s="344"/>
      <c r="B158" s="344"/>
      <c r="C158" s="344"/>
      <c r="D158" s="344"/>
      <c r="E158" s="344"/>
      <c r="F158" s="344" t="s">
        <v>236</v>
      </c>
      <c r="G158" s="344"/>
      <c r="H158" s="344"/>
      <c r="I158" s="344"/>
      <c r="J158" s="344"/>
      <c r="K158" s="345"/>
      <c r="L158" s="345"/>
      <c r="M158" s="345"/>
    </row>
    <row r="159" spans="11:13" s="309" customFormat="1" ht="12">
      <c r="K159" s="347"/>
      <c r="L159" s="347"/>
      <c r="M159" s="347"/>
    </row>
    <row r="160" spans="11:13" s="309" customFormat="1" ht="12">
      <c r="K160" s="347"/>
      <c r="L160" s="347"/>
      <c r="M160" s="347"/>
    </row>
    <row r="161" spans="11:13" s="309" customFormat="1" ht="12">
      <c r="K161" s="347"/>
      <c r="L161" s="347"/>
      <c r="M161" s="347"/>
    </row>
    <row r="162" spans="11:13" s="309" customFormat="1" ht="12">
      <c r="K162" s="347"/>
      <c r="L162" s="347"/>
      <c r="M162" s="347"/>
    </row>
    <row r="163" spans="11:13" s="309" customFormat="1" ht="12">
      <c r="K163" s="347"/>
      <c r="L163" s="347"/>
      <c r="M163" s="347"/>
    </row>
    <row r="164" spans="11:13" s="309" customFormat="1" ht="12">
      <c r="K164" s="347"/>
      <c r="L164" s="347"/>
      <c r="M164" s="347"/>
    </row>
    <row r="165" spans="11:13" s="309" customFormat="1" ht="12">
      <c r="K165" s="347"/>
      <c r="L165" s="347"/>
      <c r="M165" s="347"/>
    </row>
    <row r="166" spans="11:13" s="309" customFormat="1" ht="12">
      <c r="K166" s="347"/>
      <c r="L166" s="347"/>
      <c r="M166" s="347"/>
    </row>
    <row r="167" spans="6:13" s="309" customFormat="1" ht="12">
      <c r="F167" s="344"/>
      <c r="G167" s="344"/>
      <c r="H167" s="344"/>
      <c r="I167" s="344"/>
      <c r="K167" s="347"/>
      <c r="L167" s="347"/>
      <c r="M167" s="347"/>
    </row>
    <row r="168" spans="11:13" s="309" customFormat="1" ht="12">
      <c r="K168" s="347"/>
      <c r="L168" s="347"/>
      <c r="M168" s="347"/>
    </row>
    <row r="169" spans="11:13" s="309" customFormat="1" ht="12">
      <c r="K169" s="347"/>
      <c r="L169" s="347"/>
      <c r="M169" s="347"/>
    </row>
    <row r="170" spans="11:13" s="309" customFormat="1" ht="12">
      <c r="K170" s="347"/>
      <c r="L170" s="347"/>
      <c r="M170" s="347"/>
    </row>
    <row r="171" spans="11:13" s="309" customFormat="1" ht="12">
      <c r="K171" s="347"/>
      <c r="L171" s="347"/>
      <c r="M171" s="347"/>
    </row>
    <row r="172" spans="11:13" s="309" customFormat="1" ht="12">
      <c r="K172" s="347"/>
      <c r="L172" s="347"/>
      <c r="M172" s="347"/>
    </row>
    <row r="173" spans="11:13" s="309" customFormat="1" ht="12">
      <c r="K173" s="347"/>
      <c r="L173" s="347"/>
      <c r="M173" s="347"/>
    </row>
    <row r="174" spans="11:13" s="309" customFormat="1" ht="12">
      <c r="K174" s="347"/>
      <c r="L174" s="347"/>
      <c r="M174" s="347"/>
    </row>
    <row r="175" spans="11:13" s="309" customFormat="1" ht="12">
      <c r="K175" s="347"/>
      <c r="L175" s="347"/>
      <c r="M175" s="347"/>
    </row>
    <row r="176" spans="11:13" s="309" customFormat="1" ht="12">
      <c r="K176" s="347"/>
      <c r="L176" s="347"/>
      <c r="M176" s="347"/>
    </row>
    <row r="177" spans="11:13" s="309" customFormat="1" ht="12">
      <c r="K177" s="347"/>
      <c r="L177" s="347"/>
      <c r="M177" s="347"/>
    </row>
    <row r="178" spans="11:13" s="309" customFormat="1" ht="12">
      <c r="K178" s="347"/>
      <c r="L178" s="347"/>
      <c r="M178" s="347"/>
    </row>
    <row r="179" spans="11:13" s="309" customFormat="1" ht="12">
      <c r="K179" s="347"/>
      <c r="L179" s="347"/>
      <c r="M179" s="347"/>
    </row>
    <row r="180" spans="11:13" s="309" customFormat="1" ht="12">
      <c r="K180" s="347"/>
      <c r="L180" s="347"/>
      <c r="M180" s="347"/>
    </row>
    <row r="181" spans="11:13" s="309" customFormat="1" ht="12">
      <c r="K181" s="347"/>
      <c r="L181" s="347"/>
      <c r="M181" s="347"/>
    </row>
    <row r="182" spans="11:13" s="309" customFormat="1" ht="12">
      <c r="K182" s="347"/>
      <c r="L182" s="347"/>
      <c r="M182" s="347"/>
    </row>
    <row r="183" spans="11:13" s="309" customFormat="1" ht="12">
      <c r="K183" s="347"/>
      <c r="L183" s="347"/>
      <c r="M183" s="347"/>
    </row>
    <row r="184" spans="11:13" s="309" customFormat="1" ht="12">
      <c r="K184" s="347"/>
      <c r="L184" s="347"/>
      <c r="M184" s="347"/>
    </row>
    <row r="185" spans="11:13" s="309" customFormat="1" ht="12">
      <c r="K185" s="347"/>
      <c r="L185" s="347"/>
      <c r="M185" s="347"/>
    </row>
    <row r="186" spans="11:13" s="309" customFormat="1" ht="12">
      <c r="K186" s="347"/>
      <c r="L186" s="347"/>
      <c r="M186" s="347"/>
    </row>
    <row r="187" spans="11:13" s="309" customFormat="1" ht="12">
      <c r="K187" s="347"/>
      <c r="L187" s="347"/>
      <c r="M187" s="347"/>
    </row>
    <row r="188" spans="11:13" s="309" customFormat="1" ht="12">
      <c r="K188" s="347"/>
      <c r="L188" s="347"/>
      <c r="M188" s="347"/>
    </row>
    <row r="189" spans="11:13" s="309" customFormat="1" ht="12">
      <c r="K189" s="347"/>
      <c r="L189" s="347"/>
      <c r="M189" s="347"/>
    </row>
    <row r="190" spans="11:13" s="309" customFormat="1" ht="12">
      <c r="K190" s="347"/>
      <c r="L190" s="347"/>
      <c r="M190" s="347"/>
    </row>
    <row r="191" spans="11:13" s="309" customFormat="1" ht="12">
      <c r="K191" s="347"/>
      <c r="L191" s="347"/>
      <c r="M191" s="347"/>
    </row>
    <row r="192" spans="11:13" s="309" customFormat="1" ht="12">
      <c r="K192" s="347"/>
      <c r="L192" s="347"/>
      <c r="M192" s="347"/>
    </row>
    <row r="193" spans="11:13" s="309" customFormat="1" ht="12">
      <c r="K193" s="347"/>
      <c r="L193" s="347"/>
      <c r="M193" s="347"/>
    </row>
    <row r="194" spans="11:13" s="309" customFormat="1" ht="12">
      <c r="K194" s="347"/>
      <c r="L194" s="347"/>
      <c r="M194" s="347"/>
    </row>
  </sheetData>
  <mergeCells count="25">
    <mergeCell ref="K156:M156"/>
    <mergeCell ref="H11:H14"/>
    <mergeCell ref="G11:G14"/>
    <mergeCell ref="I11:I14"/>
    <mergeCell ref="K11:N11"/>
    <mergeCell ref="A150:N150"/>
    <mergeCell ref="Q10:Q14"/>
    <mergeCell ref="J11:J14"/>
    <mergeCell ref="B10:I10"/>
    <mergeCell ref="J10:O10"/>
    <mergeCell ref="F11:F14"/>
    <mergeCell ref="C11:C14"/>
    <mergeCell ref="D11:D14"/>
    <mergeCell ref="E11:E14"/>
    <mergeCell ref="O1:P1"/>
    <mergeCell ref="K12:L13"/>
    <mergeCell ref="M12:N13"/>
    <mergeCell ref="G4:I4"/>
    <mergeCell ref="P10:P14"/>
    <mergeCell ref="O11:O14"/>
    <mergeCell ref="M1:N1"/>
    <mergeCell ref="A6:B6"/>
    <mergeCell ref="A10:A14"/>
    <mergeCell ref="B11:B14"/>
    <mergeCell ref="A7:C7"/>
  </mergeCells>
  <printOptions/>
  <pageMargins left="0.25" right="0.28" top="0.57" bottom="0.42" header="0.3" footer="0.31"/>
  <pageSetup fitToHeight="2" fitToWidth="1" horizontalDpi="300" verticalDpi="300" orientation="portrait" paperSize="9" scale="5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workbookViewId="0" topLeftCell="A55">
      <selection activeCell="D75" sqref="D75"/>
    </sheetView>
  </sheetViews>
  <sheetFormatPr defaultColWidth="9.140625" defaultRowHeight="12.75"/>
  <cols>
    <col min="1" max="1" width="3.00390625" style="192" customWidth="1"/>
    <col min="2" max="2" width="42.8515625" style="192" customWidth="1"/>
    <col min="3" max="3" width="12.00390625" style="192" customWidth="1"/>
    <col min="4" max="4" width="14.140625" style="192" customWidth="1"/>
    <col min="5" max="5" width="14.8515625" style="192" customWidth="1"/>
    <col min="6" max="16384" width="9.140625" style="192" customWidth="1"/>
  </cols>
  <sheetData>
    <row r="1" spans="2:5" ht="12.75">
      <c r="B1" s="193"/>
      <c r="C1" s="193"/>
      <c r="D1" s="418"/>
      <c r="E1" s="419"/>
    </row>
    <row r="2" spans="1:4" ht="12.75">
      <c r="A2" s="194"/>
      <c r="B2" s="193"/>
      <c r="C2" s="424" t="s">
        <v>312</v>
      </c>
      <c r="D2" s="425"/>
    </row>
    <row r="3" spans="1:4" ht="12.75">
      <c r="A3" s="194"/>
      <c r="B3" s="193"/>
      <c r="C3" s="195"/>
      <c r="D3" s="196"/>
    </row>
    <row r="4" spans="1:5" ht="14.25">
      <c r="A4" s="426" t="s">
        <v>187</v>
      </c>
      <c r="B4" s="426"/>
      <c r="C4" s="426"/>
      <c r="D4" s="426"/>
      <c r="E4" s="426"/>
    </row>
    <row r="5" spans="1:5" ht="14.25">
      <c r="A5" s="421" t="s">
        <v>313</v>
      </c>
      <c r="B5" s="421"/>
      <c r="C5" s="422"/>
      <c r="D5" s="423"/>
      <c r="E5" s="423"/>
    </row>
    <row r="6" spans="1:5" ht="14.25">
      <c r="A6" s="93"/>
      <c r="B6" s="93"/>
      <c r="C6" s="78"/>
      <c r="D6" s="190"/>
      <c r="E6" s="190"/>
    </row>
    <row r="7" spans="1:4" ht="14.25">
      <c r="A7" s="63"/>
      <c r="B7" s="63"/>
      <c r="C7" s="63"/>
      <c r="D7" s="60"/>
    </row>
    <row r="8" spans="1:6" ht="12.75">
      <c r="A8" s="420"/>
      <c r="B8" s="420"/>
      <c r="C8" s="429" t="s">
        <v>404</v>
      </c>
      <c r="D8" s="429"/>
      <c r="E8" s="429"/>
      <c r="F8" s="233"/>
    </row>
    <row r="9" spans="1:4" ht="12.75">
      <c r="A9" s="430" t="s">
        <v>373</v>
      </c>
      <c r="B9" s="430"/>
      <c r="C9" s="439"/>
      <c r="D9" s="439"/>
    </row>
    <row r="10" spans="1:4" ht="12.75">
      <c r="A10" s="355" t="s">
        <v>438</v>
      </c>
      <c r="B10" s="355"/>
      <c r="C10" s="355"/>
      <c r="D10" s="193"/>
    </row>
    <row r="11" spans="1:4" ht="13.5" thickBot="1">
      <c r="A11" s="127"/>
      <c r="B11" s="8"/>
      <c r="C11" s="8"/>
      <c r="D11" s="59" t="s">
        <v>129</v>
      </c>
    </row>
    <row r="12" spans="1:5" ht="12" thickBot="1">
      <c r="A12" s="432" t="s">
        <v>239</v>
      </c>
      <c r="B12" s="433"/>
      <c r="C12" s="436" t="s">
        <v>240</v>
      </c>
      <c r="D12" s="437"/>
      <c r="E12" s="438" t="s">
        <v>241</v>
      </c>
    </row>
    <row r="13" spans="1:5" ht="12" thickBot="1">
      <c r="A13" s="434"/>
      <c r="B13" s="435"/>
      <c r="C13" s="215" t="s">
        <v>242</v>
      </c>
      <c r="D13" s="215" t="s">
        <v>243</v>
      </c>
      <c r="E13" s="438"/>
    </row>
    <row r="14" spans="1:5" ht="12" thickBot="1">
      <c r="A14" s="432" t="s">
        <v>7</v>
      </c>
      <c r="B14" s="440"/>
      <c r="C14" s="214">
        <v>1</v>
      </c>
      <c r="D14" s="214">
        <v>3</v>
      </c>
      <c r="E14" s="214">
        <v>4</v>
      </c>
    </row>
    <row r="15" spans="1:5" ht="11.25">
      <c r="A15" s="216" t="s">
        <v>377</v>
      </c>
      <c r="B15" s="217" t="s">
        <v>378</v>
      </c>
      <c r="C15" s="218" t="s">
        <v>158</v>
      </c>
      <c r="D15" s="218"/>
      <c r="E15" s="218" t="s">
        <v>158</v>
      </c>
    </row>
    <row r="16" spans="1:5" ht="12.75">
      <c r="A16" s="219" t="s">
        <v>379</v>
      </c>
      <c r="B16" s="220" t="s">
        <v>380</v>
      </c>
      <c r="C16" s="221"/>
      <c r="D16" s="221"/>
      <c r="E16" s="222"/>
    </row>
    <row r="17" spans="1:5" ht="12.75">
      <c r="A17" s="219" t="s">
        <v>382</v>
      </c>
      <c r="B17" s="220" t="s">
        <v>383</v>
      </c>
      <c r="C17" s="221" t="s">
        <v>158</v>
      </c>
      <c r="D17" s="221"/>
      <c r="E17" s="230" t="s">
        <v>158</v>
      </c>
    </row>
    <row r="18" spans="1:6" ht="12.75">
      <c r="A18" s="223"/>
      <c r="B18" s="348" t="s">
        <v>466</v>
      </c>
      <c r="C18" s="349">
        <v>6</v>
      </c>
      <c r="D18" s="288">
        <v>6.18</v>
      </c>
      <c r="E18" s="268">
        <v>0</v>
      </c>
      <c r="F18" s="269"/>
    </row>
    <row r="19" spans="1:6" ht="12.75">
      <c r="A19" s="223"/>
      <c r="B19" s="348" t="s">
        <v>412</v>
      </c>
      <c r="C19" s="349">
        <v>1</v>
      </c>
      <c r="D19" s="288">
        <v>0.03</v>
      </c>
      <c r="E19" s="268">
        <f>C19/534669</f>
        <v>1.8703160272991328E-06</v>
      </c>
      <c r="F19" s="269"/>
    </row>
    <row r="20" spans="1:6" ht="12.75">
      <c r="A20" s="223"/>
      <c r="B20" s="348" t="s">
        <v>442</v>
      </c>
      <c r="C20" s="349">
        <v>2229</v>
      </c>
      <c r="D20" s="288">
        <v>68329.99</v>
      </c>
      <c r="E20" s="268">
        <f>C20/7367222</f>
        <v>0.0003025563774242177</v>
      </c>
      <c r="F20" s="269"/>
    </row>
    <row r="21" spans="1:6" ht="12.75">
      <c r="A21" s="223"/>
      <c r="B21" s="348" t="s">
        <v>414</v>
      </c>
      <c r="C21" s="349">
        <v>2</v>
      </c>
      <c r="D21" s="288">
        <v>1.04</v>
      </c>
      <c r="E21" s="268">
        <f>C21/536562</f>
        <v>3.7274350401258383E-06</v>
      </c>
      <c r="F21" s="269"/>
    </row>
    <row r="22" spans="1:6" ht="12.75">
      <c r="A22" s="223"/>
      <c r="B22" s="348" t="s">
        <v>431</v>
      </c>
      <c r="C22" s="349">
        <v>20</v>
      </c>
      <c r="D22" s="288">
        <v>18</v>
      </c>
      <c r="E22" s="268">
        <f>C22/243237</f>
        <v>8.222433264676016E-05</v>
      </c>
      <c r="F22" s="269"/>
    </row>
    <row r="23" spans="1:6" ht="12.75">
      <c r="A23" s="223"/>
      <c r="B23" s="348" t="s">
        <v>432</v>
      </c>
      <c r="C23" s="349">
        <v>1709</v>
      </c>
      <c r="D23" s="288">
        <v>26371.58</v>
      </c>
      <c r="E23" s="268">
        <f>C23/6493577</f>
        <v>0.0002631831423574403</v>
      </c>
      <c r="F23" s="269"/>
    </row>
    <row r="24" spans="1:6" ht="12.75">
      <c r="A24" s="223"/>
      <c r="B24" s="348" t="s">
        <v>440</v>
      </c>
      <c r="C24" s="349">
        <v>674</v>
      </c>
      <c r="D24" s="288">
        <v>182007.3</v>
      </c>
      <c r="E24" s="268">
        <f>C24/1974000</f>
        <v>0.0003414387031408308</v>
      </c>
      <c r="F24" s="269"/>
    </row>
    <row r="25" spans="1:6" ht="12.75">
      <c r="A25" s="223"/>
      <c r="B25" s="348" t="s">
        <v>462</v>
      </c>
      <c r="C25" s="349">
        <v>12000</v>
      </c>
      <c r="D25" s="288">
        <v>54120</v>
      </c>
      <c r="E25" s="268">
        <f>C25/170785600</f>
        <v>7.02635350989779E-05</v>
      </c>
      <c r="F25" s="269"/>
    </row>
    <row r="26" spans="1:6" ht="12.75">
      <c r="A26" s="223"/>
      <c r="B26" s="348" t="s">
        <v>433</v>
      </c>
      <c r="C26" s="349">
        <v>378</v>
      </c>
      <c r="D26" s="288">
        <v>106607.79</v>
      </c>
      <c r="E26" s="268">
        <f>C26/2500</f>
        <v>0.1512</v>
      </c>
      <c r="F26" s="269"/>
    </row>
    <row r="27" spans="1:6" ht="12.75">
      <c r="A27" s="223"/>
      <c r="B27" s="348" t="s">
        <v>429</v>
      </c>
      <c r="C27" s="349">
        <v>200</v>
      </c>
      <c r="D27" s="288">
        <v>37882.88</v>
      </c>
      <c r="E27" s="268">
        <f>C27/10805</f>
        <v>0.01850994909763998</v>
      </c>
      <c r="F27" s="269"/>
    </row>
    <row r="28" spans="1:6" ht="12.75">
      <c r="A28" s="223"/>
      <c r="B28" s="348" t="s">
        <v>417</v>
      </c>
      <c r="C28" s="349">
        <v>4</v>
      </c>
      <c r="D28" s="288">
        <v>5.2</v>
      </c>
      <c r="E28" s="268">
        <f>C28/384404</f>
        <v>1.0405718983153141E-05</v>
      </c>
      <c r="F28" s="269"/>
    </row>
    <row r="29" spans="1:6" ht="12.75">
      <c r="A29" s="223"/>
      <c r="B29" s="348" t="s">
        <v>451</v>
      </c>
      <c r="C29" s="349">
        <v>3371</v>
      </c>
      <c r="D29" s="288">
        <v>58621.69</v>
      </c>
      <c r="E29" s="268">
        <f>C29/25000000</f>
        <v>0.00013484</v>
      </c>
      <c r="F29" s="269"/>
    </row>
    <row r="30" spans="1:6" ht="12.75">
      <c r="A30" s="223"/>
      <c r="B30" s="348" t="s">
        <v>446</v>
      </c>
      <c r="C30" s="349">
        <v>1800</v>
      </c>
      <c r="D30" s="288">
        <v>172854</v>
      </c>
      <c r="E30" s="268">
        <f>C30/6000000</f>
        <v>0.0003</v>
      </c>
      <c r="F30" s="269"/>
    </row>
    <row r="31" spans="1:6" ht="12.75">
      <c r="A31" s="223"/>
      <c r="B31" s="348" t="s">
        <v>418</v>
      </c>
      <c r="C31" s="349">
        <v>10010</v>
      </c>
      <c r="D31" s="288">
        <v>458923.46</v>
      </c>
      <c r="E31" s="268">
        <f>C31/55079</f>
        <v>0.1817389567711832</v>
      </c>
      <c r="F31" s="269"/>
    </row>
    <row r="32" spans="1:6" ht="12.75">
      <c r="A32" s="223"/>
      <c r="B32" s="348" t="s">
        <v>420</v>
      </c>
      <c r="C32" s="349">
        <v>4</v>
      </c>
      <c r="D32" s="288">
        <v>30.6</v>
      </c>
      <c r="E32" s="268">
        <f>C32/202548</f>
        <v>1.974840531627071E-05</v>
      </c>
      <c r="F32" s="269"/>
    </row>
    <row r="33" spans="1:6" ht="12.75">
      <c r="A33" s="223"/>
      <c r="B33" s="348" t="s">
        <v>454</v>
      </c>
      <c r="C33" s="349">
        <v>114029</v>
      </c>
      <c r="D33" s="288">
        <v>195583</v>
      </c>
      <c r="E33" s="268">
        <f>C33/2508646</f>
        <v>0.04545440050130628</v>
      </c>
      <c r="F33" s="269"/>
    </row>
    <row r="34" spans="1:6" ht="12.75">
      <c r="A34" s="223"/>
      <c r="B34" s="348" t="s">
        <v>421</v>
      </c>
      <c r="C34" s="349">
        <v>1</v>
      </c>
      <c r="D34" s="288">
        <v>20.24</v>
      </c>
      <c r="E34" s="268">
        <f>C34/1079127</f>
        <v>9.266749882080608E-07</v>
      </c>
      <c r="F34" s="269"/>
    </row>
    <row r="35" spans="1:6" ht="12.75">
      <c r="A35" s="223"/>
      <c r="B35" s="348" t="s">
        <v>423</v>
      </c>
      <c r="C35" s="349">
        <v>10</v>
      </c>
      <c r="D35" s="288">
        <v>110.95</v>
      </c>
      <c r="E35" s="268">
        <f>C35/5324513</f>
        <v>1.8781060352374011E-06</v>
      </c>
      <c r="F35" s="269"/>
    </row>
    <row r="36" spans="1:6" ht="12.75">
      <c r="A36" s="223"/>
      <c r="B36" s="348" t="s">
        <v>448</v>
      </c>
      <c r="C36" s="349">
        <v>8757</v>
      </c>
      <c r="D36" s="288">
        <v>100793.07</v>
      </c>
      <c r="E36" s="268">
        <f>C36/110000000</f>
        <v>7.960909090909091E-05</v>
      </c>
      <c r="F36" s="269"/>
    </row>
    <row r="37" spans="1:6" ht="12.75">
      <c r="A37" s="223"/>
      <c r="B37" s="348" t="s">
        <v>428</v>
      </c>
      <c r="C37" s="349">
        <v>2</v>
      </c>
      <c r="D37" s="288">
        <v>30.64</v>
      </c>
      <c r="E37" s="268">
        <f>C37/201804</f>
        <v>9.910606330895324E-06</v>
      </c>
      <c r="F37" s="269"/>
    </row>
    <row r="38" spans="1:6" ht="12.75">
      <c r="A38" s="223"/>
      <c r="B38" s="348" t="s">
        <v>427</v>
      </c>
      <c r="C38" s="349">
        <v>2</v>
      </c>
      <c r="D38" s="288">
        <v>21.83</v>
      </c>
      <c r="E38" s="268">
        <f>C38/1177860</f>
        <v>1.6979946682967415E-06</v>
      </c>
      <c r="F38" s="269"/>
    </row>
    <row r="39" spans="1:6" ht="12.75">
      <c r="A39" s="223"/>
      <c r="B39" s="348" t="s">
        <v>405</v>
      </c>
      <c r="C39" s="349">
        <v>6835</v>
      </c>
      <c r="D39" s="288">
        <v>124263.72</v>
      </c>
      <c r="E39" s="268">
        <f>C39/1957808</f>
        <v>0.0034911492853231777</v>
      </c>
      <c r="F39" s="269"/>
    </row>
    <row r="40" spans="1:6" ht="12.75">
      <c r="A40" s="223"/>
      <c r="B40" s="348" t="s">
        <v>456</v>
      </c>
      <c r="C40" s="349">
        <v>3438</v>
      </c>
      <c r="D40" s="288">
        <v>30374.73</v>
      </c>
      <c r="E40" s="268">
        <f>C40/132000000</f>
        <v>2.6045454545454545E-05</v>
      </c>
      <c r="F40" s="269"/>
    </row>
    <row r="41" spans="1:6" ht="12.75">
      <c r="A41" s="224" t="s">
        <v>158</v>
      </c>
      <c r="B41" s="348" t="s">
        <v>416</v>
      </c>
      <c r="C41" s="349">
        <v>1</v>
      </c>
      <c r="D41" s="288">
        <v>1.1</v>
      </c>
      <c r="E41" s="268">
        <f>C41/1053816</f>
        <v>9.489322614194509E-07</v>
      </c>
      <c r="F41" s="269"/>
    </row>
    <row r="42" spans="1:6" ht="12.75">
      <c r="A42" s="257"/>
      <c r="B42" s="348" t="s">
        <v>444</v>
      </c>
      <c r="C42" s="349">
        <v>6269</v>
      </c>
      <c r="D42" s="288">
        <v>97232.19</v>
      </c>
      <c r="E42" s="268">
        <f>C42/149999984</f>
        <v>4.179333779128936E-05</v>
      </c>
      <c r="F42" s="269"/>
    </row>
    <row r="43" spans="1:6" ht="12.75">
      <c r="A43" s="225"/>
      <c r="B43" s="348" t="s">
        <v>425</v>
      </c>
      <c r="C43" s="349">
        <v>1</v>
      </c>
      <c r="D43" s="288">
        <v>1.37</v>
      </c>
      <c r="E43" s="350">
        <f>C43/429992</f>
        <v>2.3256246627844238E-06</v>
      </c>
      <c r="F43" s="269"/>
    </row>
    <row r="44" spans="1:6" ht="12.75">
      <c r="A44" s="225"/>
      <c r="B44" s="348" t="s">
        <v>430</v>
      </c>
      <c r="C44" s="349">
        <v>9</v>
      </c>
      <c r="D44" s="288">
        <v>57.24</v>
      </c>
      <c r="E44" s="268">
        <f>C44/1222299</f>
        <v>7.3631738224444265E-06</v>
      </c>
      <c r="F44" s="269"/>
    </row>
    <row r="45" spans="1:6" ht="12.75">
      <c r="A45" s="225"/>
      <c r="B45" s="352" t="s">
        <v>467</v>
      </c>
      <c r="C45" s="221"/>
      <c r="D45" s="241"/>
      <c r="E45" s="351">
        <f>SUM(E18:E44)</f>
        <v>0.40209721261750286</v>
      </c>
      <c r="F45" s="270"/>
    </row>
    <row r="46" spans="1:5" ht="12.75">
      <c r="A46" s="227"/>
      <c r="B46" s="228" t="s">
        <v>388</v>
      </c>
      <c r="C46" s="229">
        <f>SUM(C18:C45)</f>
        <v>171762</v>
      </c>
      <c r="D46" s="229">
        <f>SUM(D18:D45)</f>
        <v>1714269.82</v>
      </c>
      <c r="E46" s="229"/>
    </row>
    <row r="47" spans="1:5" ht="12.75">
      <c r="A47" s="216" t="s">
        <v>158</v>
      </c>
      <c r="B47" s="232" t="s">
        <v>389</v>
      </c>
      <c r="C47" s="229">
        <f>C46+C16</f>
        <v>171762</v>
      </c>
      <c r="D47" s="229">
        <f>D46+D16</f>
        <v>1714269.82</v>
      </c>
      <c r="E47" s="240"/>
    </row>
    <row r="48" spans="1:5" ht="12.75">
      <c r="A48" s="216" t="s">
        <v>158</v>
      </c>
      <c r="B48" s="226"/>
      <c r="C48" s="221" t="s">
        <v>158</v>
      </c>
      <c r="D48" s="221"/>
      <c r="E48" s="231" t="s">
        <v>158</v>
      </c>
    </row>
    <row r="49" spans="1:5" ht="12.75">
      <c r="A49" s="216" t="s">
        <v>390</v>
      </c>
      <c r="B49" s="226" t="s">
        <v>391</v>
      </c>
      <c r="C49" s="221" t="s">
        <v>158</v>
      </c>
      <c r="D49" s="221"/>
      <c r="E49" s="231" t="s">
        <v>158</v>
      </c>
    </row>
    <row r="50" spans="1:5" ht="12.75">
      <c r="A50" s="219" t="s">
        <v>392</v>
      </c>
      <c r="B50" s="220" t="s">
        <v>380</v>
      </c>
      <c r="C50" s="221" t="s">
        <v>158</v>
      </c>
      <c r="D50" s="221"/>
      <c r="E50" s="231" t="s">
        <v>158</v>
      </c>
    </row>
    <row r="51" spans="1:5" ht="12.75">
      <c r="A51" s="216" t="s">
        <v>158</v>
      </c>
      <c r="B51" s="220" t="s">
        <v>384</v>
      </c>
      <c r="C51" s="221" t="s">
        <v>158</v>
      </c>
      <c r="D51" s="221"/>
      <c r="E51" s="231" t="s">
        <v>158</v>
      </c>
    </row>
    <row r="52" spans="1:5" ht="12.75">
      <c r="A52" s="216" t="s">
        <v>158</v>
      </c>
      <c r="B52" s="226" t="s">
        <v>385</v>
      </c>
      <c r="C52" s="221" t="s">
        <v>158</v>
      </c>
      <c r="D52" s="221"/>
      <c r="E52" s="231" t="s">
        <v>158</v>
      </c>
    </row>
    <row r="53" spans="1:5" ht="12.75">
      <c r="A53" s="216" t="s">
        <v>158</v>
      </c>
      <c r="B53" s="226" t="s">
        <v>386</v>
      </c>
      <c r="C53" s="221" t="s">
        <v>158</v>
      </c>
      <c r="D53" s="221"/>
      <c r="E53" s="231" t="s">
        <v>158</v>
      </c>
    </row>
    <row r="54" spans="1:5" ht="12.75">
      <c r="A54" s="216" t="s">
        <v>158</v>
      </c>
      <c r="B54" s="226" t="s">
        <v>387</v>
      </c>
      <c r="C54" s="221" t="s">
        <v>158</v>
      </c>
      <c r="D54" s="221"/>
      <c r="E54" s="231" t="s">
        <v>158</v>
      </c>
    </row>
    <row r="55" spans="1:5" ht="12.75">
      <c r="A55" s="216" t="s">
        <v>158</v>
      </c>
      <c r="B55" s="226" t="s">
        <v>381</v>
      </c>
      <c r="C55" s="221">
        <f>SUM(C51:C54)</f>
        <v>0</v>
      </c>
      <c r="D55" s="221">
        <f>SUM(D51:D54)</f>
        <v>0</v>
      </c>
      <c r="E55" s="231" t="s">
        <v>158</v>
      </c>
    </row>
    <row r="56" spans="1:5" ht="12.75">
      <c r="A56" s="219" t="s">
        <v>382</v>
      </c>
      <c r="B56" s="220" t="s">
        <v>393</v>
      </c>
      <c r="C56" s="221" t="s">
        <v>158</v>
      </c>
      <c r="D56" s="221"/>
      <c r="E56" s="231" t="s">
        <v>158</v>
      </c>
    </row>
    <row r="57" spans="1:5" ht="12.75">
      <c r="A57" s="216" t="s">
        <v>158</v>
      </c>
      <c r="B57" s="226" t="s">
        <v>394</v>
      </c>
      <c r="C57" s="221" t="s">
        <v>158</v>
      </c>
      <c r="D57" s="221"/>
      <c r="E57" s="231" t="s">
        <v>158</v>
      </c>
    </row>
    <row r="58" spans="1:5" ht="12.75">
      <c r="A58" s="216" t="s">
        <v>158</v>
      </c>
      <c r="B58" s="226" t="s">
        <v>395</v>
      </c>
      <c r="C58" s="221" t="s">
        <v>158</v>
      </c>
      <c r="D58" s="221"/>
      <c r="E58" s="231" t="s">
        <v>158</v>
      </c>
    </row>
    <row r="59" spans="1:5" ht="12.75">
      <c r="A59" s="216" t="s">
        <v>158</v>
      </c>
      <c r="B59" s="226" t="s">
        <v>396</v>
      </c>
      <c r="C59" s="221" t="s">
        <v>158</v>
      </c>
      <c r="D59" s="221"/>
      <c r="E59" s="231" t="s">
        <v>158</v>
      </c>
    </row>
    <row r="60" spans="1:5" ht="12.75">
      <c r="A60" s="216" t="s">
        <v>158</v>
      </c>
      <c r="B60" s="226" t="s">
        <v>387</v>
      </c>
      <c r="C60" s="221" t="s">
        <v>158</v>
      </c>
      <c r="D60" s="221"/>
      <c r="E60" s="231" t="s">
        <v>158</v>
      </c>
    </row>
    <row r="61" spans="1:5" ht="12.75">
      <c r="A61" s="216" t="s">
        <v>158</v>
      </c>
      <c r="B61" s="226" t="s">
        <v>388</v>
      </c>
      <c r="C61" s="221">
        <f>SUM(C57:C60)</f>
        <v>0</v>
      </c>
      <c r="D61" s="221">
        <f>SUM(D57:D60)</f>
        <v>0</v>
      </c>
      <c r="E61" s="231" t="s">
        <v>158</v>
      </c>
    </row>
    <row r="62" spans="1:5" ht="12.75">
      <c r="A62" s="216" t="s">
        <v>158</v>
      </c>
      <c r="B62" s="220" t="s">
        <v>397</v>
      </c>
      <c r="C62" s="221">
        <f>C55+C61</f>
        <v>0</v>
      </c>
      <c r="D62" s="221">
        <f>D55+D61</f>
        <v>0</v>
      </c>
      <c r="E62" s="231" t="s">
        <v>158</v>
      </c>
    </row>
    <row r="63" spans="1:5" ht="12.75">
      <c r="A63" s="236"/>
      <c r="B63" s="237"/>
      <c r="C63" s="238"/>
      <c r="D63" s="238"/>
      <c r="E63" s="239"/>
    </row>
    <row r="64" spans="1:5" ht="12.75">
      <c r="A64" s="428"/>
      <c r="B64" s="428"/>
      <c r="C64" s="238"/>
      <c r="D64" s="238"/>
      <c r="E64" s="239"/>
    </row>
    <row r="67" spans="2:6" ht="11.25">
      <c r="B67" s="431" t="s">
        <v>398</v>
      </c>
      <c r="C67" s="431"/>
      <c r="D67" s="234" t="s">
        <v>399</v>
      </c>
      <c r="E67" s="235"/>
      <c r="F67" s="235"/>
    </row>
    <row r="68" spans="2:6" ht="11.25">
      <c r="B68" s="427" t="s">
        <v>400</v>
      </c>
      <c r="C68" s="427"/>
      <c r="D68" s="234"/>
      <c r="E68" s="234"/>
      <c r="F68" s="234"/>
    </row>
    <row r="74" ht="12.75">
      <c r="A74" s="8" t="s">
        <v>435</v>
      </c>
    </row>
  </sheetData>
  <mergeCells count="16">
    <mergeCell ref="B68:C68"/>
    <mergeCell ref="A64:B64"/>
    <mergeCell ref="C8:E8"/>
    <mergeCell ref="A9:B9"/>
    <mergeCell ref="B67:C67"/>
    <mergeCell ref="A12:B13"/>
    <mergeCell ref="C12:D12"/>
    <mergeCell ref="E12:E13"/>
    <mergeCell ref="C9:D9"/>
    <mergeCell ref="A14:B14"/>
    <mergeCell ref="A10:C10"/>
    <mergeCell ref="D1:E1"/>
    <mergeCell ref="A8:B8"/>
    <mergeCell ref="A5:E5"/>
    <mergeCell ref="C2:D2"/>
    <mergeCell ref="A4:E4"/>
  </mergeCells>
  <printOptions/>
  <pageMargins left="1.29" right="0.75" top="0.98" bottom="1" header="0.5" footer="0.5"/>
  <pageSetup fitToHeight="1" fitToWidth="1" horizontalDpi="300" verticalDpi="300" orientation="portrait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3">
      <selection activeCell="D19" sqref="D19"/>
    </sheetView>
  </sheetViews>
  <sheetFormatPr defaultColWidth="9.140625" defaultRowHeight="12" customHeight="1"/>
  <cols>
    <col min="1" max="1" width="39.421875" style="8" customWidth="1"/>
    <col min="2" max="2" width="15.57421875" style="8" customWidth="1"/>
    <col min="3" max="3" width="17.8515625" style="8" customWidth="1"/>
    <col min="4" max="16384" width="9.140625" style="8" customWidth="1"/>
  </cols>
  <sheetData>
    <row r="1" ht="12" customHeight="1">
      <c r="C1" s="110" t="s">
        <v>333</v>
      </c>
    </row>
    <row r="2" spans="1:5" ht="14.25" customHeight="1">
      <c r="A2" s="105"/>
      <c r="B2" s="105"/>
      <c r="C2" s="54"/>
      <c r="D2" s="105"/>
      <c r="E2" s="105"/>
    </row>
    <row r="3" spans="1:5" ht="12" customHeight="1">
      <c r="A3" s="397" t="s">
        <v>316</v>
      </c>
      <c r="B3" s="397"/>
      <c r="C3" s="54"/>
      <c r="D3" s="54"/>
      <c r="E3" s="54"/>
    </row>
    <row r="4" spans="1:5" ht="12" customHeight="1">
      <c r="A4" s="443" t="s">
        <v>317</v>
      </c>
      <c r="B4" s="444"/>
      <c r="C4" s="59"/>
      <c r="D4" s="92"/>
      <c r="E4" s="92"/>
    </row>
    <row r="5" spans="1:5" ht="12" customHeight="1">
      <c r="A5" s="59"/>
      <c r="B5" s="59"/>
      <c r="C5" s="59"/>
      <c r="D5" s="92"/>
      <c r="E5" s="92"/>
    </row>
    <row r="6" spans="1:5" ht="12" customHeight="1">
      <c r="A6" s="59"/>
      <c r="B6" s="59"/>
      <c r="C6" s="59"/>
      <c r="D6" s="92"/>
      <c r="E6" s="92"/>
    </row>
    <row r="7" spans="1:5" ht="12" customHeight="1">
      <c r="A7" s="91" t="s">
        <v>373</v>
      </c>
      <c r="B7" s="422" t="s">
        <v>404</v>
      </c>
      <c r="C7" s="422"/>
      <c r="D7" s="422"/>
      <c r="E7" s="54"/>
    </row>
    <row r="8" spans="1:4" ht="12" customHeight="1">
      <c r="A8" s="355" t="s">
        <v>438</v>
      </c>
      <c r="B8" s="355"/>
      <c r="C8" s="355"/>
      <c r="D8" s="54"/>
    </row>
    <row r="9" spans="1:4" ht="12" customHeight="1">
      <c r="A9" s="106"/>
      <c r="B9" s="92"/>
      <c r="C9" s="107"/>
      <c r="D9" s="54"/>
    </row>
    <row r="10" spans="1:4" ht="12" customHeight="1">
      <c r="A10" s="106"/>
      <c r="B10" s="92"/>
      <c r="C10" s="107" t="s">
        <v>129</v>
      </c>
      <c r="D10" s="54"/>
    </row>
    <row r="11" spans="1:5" ht="12" customHeight="1">
      <c r="A11" s="441" t="s">
        <v>160</v>
      </c>
      <c r="B11" s="401" t="s">
        <v>318</v>
      </c>
      <c r="C11" s="401"/>
      <c r="D11" s="92"/>
      <c r="E11" s="92"/>
    </row>
    <row r="12" spans="1:3" ht="26.25" customHeight="1">
      <c r="A12" s="442"/>
      <c r="B12" s="102" t="s">
        <v>319</v>
      </c>
      <c r="C12" s="102" t="s">
        <v>320</v>
      </c>
    </row>
    <row r="13" spans="1:3" ht="12" customHeight="1">
      <c r="A13" s="90" t="s">
        <v>7</v>
      </c>
      <c r="B13" s="90">
        <v>1</v>
      </c>
      <c r="C13" s="90">
        <v>2</v>
      </c>
    </row>
    <row r="14" spans="1:3" ht="12" customHeight="1">
      <c r="A14" s="103" t="s">
        <v>321</v>
      </c>
      <c r="B14" s="86"/>
      <c r="C14" s="86"/>
    </row>
    <row r="15" spans="1:3" ht="12" customHeight="1">
      <c r="A15" s="86" t="s">
        <v>322</v>
      </c>
      <c r="B15" s="255">
        <v>1692.88</v>
      </c>
      <c r="C15" s="255">
        <v>1692.88</v>
      </c>
    </row>
    <row r="16" spans="1:7" ht="12" customHeight="1">
      <c r="A16" s="86" t="s">
        <v>323</v>
      </c>
      <c r="B16" s="255">
        <v>37036.09</v>
      </c>
      <c r="C16" s="255">
        <f>B16-3968.22</f>
        <v>33067.869999999995</v>
      </c>
      <c r="G16" s="108"/>
    </row>
    <row r="17" spans="1:3" ht="12" customHeight="1">
      <c r="A17" s="86" t="s">
        <v>408</v>
      </c>
      <c r="B17" s="255"/>
      <c r="C17" s="255"/>
    </row>
    <row r="18" spans="1:3" ht="12" customHeight="1">
      <c r="A18" s="86" t="s">
        <v>324</v>
      </c>
      <c r="B18" s="255"/>
      <c r="C18" s="255"/>
    </row>
    <row r="19" spans="1:3" ht="12" customHeight="1">
      <c r="A19" s="86" t="s">
        <v>325</v>
      </c>
      <c r="B19" s="255"/>
      <c r="C19" s="255"/>
    </row>
    <row r="20" spans="1:4" ht="12" customHeight="1">
      <c r="A20" s="112" t="s">
        <v>336</v>
      </c>
      <c r="B20" s="255">
        <f>SUM(B15:B19)</f>
        <v>38728.969999999994</v>
      </c>
      <c r="C20" s="255">
        <f>SUM(C15:C19)</f>
        <v>34760.74999999999</v>
      </c>
      <c r="D20" s="279"/>
    </row>
    <row r="21" spans="1:3" ht="12" customHeight="1">
      <c r="A21" s="103" t="s">
        <v>335</v>
      </c>
      <c r="B21" s="86"/>
      <c r="C21" s="86"/>
    </row>
    <row r="22" spans="1:3" ht="12" customHeight="1">
      <c r="A22" s="86" t="s">
        <v>326</v>
      </c>
      <c r="B22" s="111"/>
      <c r="C22" s="111"/>
    </row>
    <row r="23" spans="1:3" ht="12" customHeight="1">
      <c r="A23" s="256" t="s">
        <v>327</v>
      </c>
      <c r="B23" s="111"/>
      <c r="C23" s="111"/>
    </row>
    <row r="24" spans="1:3" ht="12" customHeight="1">
      <c r="A24" s="86" t="s">
        <v>328</v>
      </c>
      <c r="B24" s="111"/>
      <c r="C24" s="111"/>
    </row>
    <row r="25" spans="1:3" ht="12" customHeight="1">
      <c r="A25" s="113" t="s">
        <v>329</v>
      </c>
      <c r="B25" s="111"/>
      <c r="C25" s="111"/>
    </row>
    <row r="26" spans="1:3" ht="12" customHeight="1">
      <c r="A26" s="113" t="s">
        <v>330</v>
      </c>
      <c r="B26" s="111"/>
      <c r="C26" s="111"/>
    </row>
    <row r="27" spans="1:3" ht="12" customHeight="1">
      <c r="A27" s="113" t="s">
        <v>331</v>
      </c>
      <c r="B27" s="255">
        <f>4.92+0.21</f>
        <v>5.13</v>
      </c>
      <c r="C27" s="255"/>
    </row>
    <row r="28" spans="1:3" ht="12" customHeight="1">
      <c r="A28" s="86" t="s">
        <v>325</v>
      </c>
      <c r="B28" s="111"/>
      <c r="C28" s="111"/>
    </row>
    <row r="29" spans="1:3" ht="12" customHeight="1">
      <c r="A29" s="112" t="s">
        <v>332</v>
      </c>
      <c r="B29" s="111"/>
      <c r="C29" s="111"/>
    </row>
    <row r="30" spans="1:3" ht="12" customHeight="1">
      <c r="A30" s="139"/>
      <c r="B30" s="243"/>
      <c r="C30" s="243"/>
    </row>
    <row r="31" spans="1:3" ht="12" customHeight="1">
      <c r="A31" s="139"/>
      <c r="B31" s="243"/>
      <c r="C31" s="243"/>
    </row>
    <row r="32" spans="1:3" ht="12" customHeight="1">
      <c r="A32" s="139"/>
      <c r="B32" s="243"/>
      <c r="C32" s="243"/>
    </row>
    <row r="33" spans="1:4" ht="12" customHeight="1">
      <c r="A33" s="56"/>
      <c r="B33" s="56"/>
      <c r="C33" s="56"/>
      <c r="D33" s="57"/>
    </row>
    <row r="34" spans="1:4" ht="12" customHeight="1">
      <c r="A34" s="109" t="s">
        <v>468</v>
      </c>
      <c r="B34" s="109" t="s">
        <v>337</v>
      </c>
      <c r="C34" s="61"/>
      <c r="D34" s="57"/>
    </row>
    <row r="35" spans="1:5" ht="12" customHeight="1">
      <c r="A35" s="57"/>
      <c r="B35" s="57"/>
      <c r="C35" s="57"/>
      <c r="D35" s="57"/>
      <c r="E35" s="57"/>
    </row>
    <row r="36" spans="1:5" ht="12" customHeight="1">
      <c r="A36" s="57"/>
      <c r="B36" s="57"/>
      <c r="C36" s="57"/>
      <c r="D36" s="57"/>
      <c r="E36" s="57"/>
    </row>
    <row r="37" spans="1:5" ht="12" customHeight="1">
      <c r="A37" s="57"/>
      <c r="B37" s="57"/>
      <c r="C37" s="57"/>
      <c r="D37" s="57"/>
      <c r="E37" s="57"/>
    </row>
    <row r="38" spans="4:5" ht="12" customHeight="1">
      <c r="D38" s="57"/>
      <c r="E38" s="57"/>
    </row>
    <row r="39" spans="4:5" ht="12" customHeight="1">
      <c r="D39" s="57"/>
      <c r="E39" s="57"/>
    </row>
    <row r="40" spans="4:5" ht="12" customHeight="1">
      <c r="D40" s="57"/>
      <c r="E40" s="57"/>
    </row>
    <row r="41" spans="4:5" ht="12" customHeight="1">
      <c r="D41" s="57"/>
      <c r="E41" s="57"/>
    </row>
  </sheetData>
  <mergeCells count="6">
    <mergeCell ref="A3:B3"/>
    <mergeCell ref="B11:C11"/>
    <mergeCell ref="A11:A12"/>
    <mergeCell ref="A4:B4"/>
    <mergeCell ref="B7:D7"/>
    <mergeCell ref="A8:C8"/>
  </mergeCells>
  <printOptions/>
  <pageMargins left="1.33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ИД "Индустриален фонд" АД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Тримесечен отчет</dc:title>
  <dc:subject>Форма КФН</dc:subject>
  <dc:creator>Ивайло Милованов</dc:creator>
  <cp:keywords/>
  <dc:description/>
  <cp:lastModifiedBy>PC-8</cp:lastModifiedBy>
  <cp:lastPrinted>2008-01-30T10:54:00Z</cp:lastPrinted>
  <dcterms:created xsi:type="dcterms:W3CDTF">2004-03-04T10:58:58Z</dcterms:created>
  <dcterms:modified xsi:type="dcterms:W3CDTF">2008-01-30T12:06:36Z</dcterms:modified>
  <cp:category/>
  <cp:version/>
  <cp:contentType/>
  <cp:contentStatus/>
</cp:coreProperties>
</file>