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спр.№6-Франция" sheetId="9" r:id="rId9"/>
    <sheet name="спр.№6-Испания" sheetId="10" r:id="rId10"/>
    <sheet name="спр.№6-Германия" sheetId="11" r:id="rId11"/>
    <sheet name="спр.№6-Италия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<sst xmlns="http://schemas.openxmlformats.org/spreadsheetml/2006/main" count="1875" uniqueCount="881">
  <si>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</si>
  <si>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</si>
  <si>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</si>
  <si>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</si>
  <si>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</si>
  <si>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</si>
  <si>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</si>
  <si>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</si>
  <si>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</si>
  <si>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</si>
  <si>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</si>
  <si>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</si>
  <si>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</si>
  <si>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</si>
  <si>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</si>
  <si>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</si>
  <si>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</si>
  <si>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</si>
  <si>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</si>
  <si>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</si>
  <si>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</si>
  <si>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</si>
  <si>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</si>
  <si>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</si>
  <si>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</si>
  <si>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</si>
  <si>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</si>
  <si>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</si>
  <si>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</si>
  <si>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</si>
  <si>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</si>
  <si>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</si>
  <si>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</si>
  <si>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</si>
  <si>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</si>
  <si>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</si>
  <si>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</si>
  <si>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</si>
  <si>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</si>
  <si>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</si>
  <si>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</si>
  <si>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</si>
  <si>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</si>
  <si>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</si>
  <si>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</si>
  <si>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</si>
  <si>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</si>
  <si>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</si>
  <si>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</si>
  <si>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</si>
  <si>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</si>
  <si>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</si>
  <si>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</si>
  <si>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</si>
  <si>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</si>
  <si>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</si>
  <si>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</si>
  <si>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</si>
  <si>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</si>
  <si>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</si>
  <si>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</si>
  <si>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</si>
  <si>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</si>
  <si>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</si>
  <si>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</si>
  <si>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</si>
  <si>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</si>
  <si>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</si>
  <si>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</si>
  <si>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</si>
  <si>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</si>
  <si>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</si>
  <si>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</si>
  <si>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</si>
  <si>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</si>
  <si>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</si>
  <si>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</si>
  <si>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</si>
  <si>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</si>
  <si>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</si>
  <si>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</si>
  <si>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</si>
  <si>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</si>
  <si>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</si>
  <si>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</si>
  <si>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</si>
  <si>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</si>
  <si>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</si>
  <si>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</si>
  <si>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</si>
  <si>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</si>
  <si>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</si>
  <si>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</si>
  <si>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</si>
  <si>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</si>
  <si>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</si>
  <si>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</si>
  <si>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</si>
  <si>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</si>
  <si>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</si>
  <si>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</si>
  <si>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</si>
  <si>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</si>
  <si>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</si>
  <si>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</si>
  <si>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</si>
  <si>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</si>
  <si>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</si>
  <si>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</si>
  <si>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</si>
  <si>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</si>
  <si>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</si>
  <si>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</si>
  <si>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</si>
  <si>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</si>
  <si>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</si>
  <si>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</si>
  <si>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</si>
  <si>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</si>
  <si>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</si>
  <si>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</si>
  <si>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</si>
  <si>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</si>
  <si>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</si>
  <si>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</si>
  <si>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</si>
  <si>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</si>
  <si>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</si>
  <si>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</si>
  <si>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</si>
  <si>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</si>
  <si>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</si>
  <si>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</si>
  <si>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</si>
  <si>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</si>
  <si>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</si>
  <si>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</si>
  <si>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</si>
  <si>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</si>
  <si>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</si>
  <si>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</si>
  <si>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</si>
  <si>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</si>
  <si>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</si>
  <si>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</si>
  <si>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</si>
  <si>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</si>
  <si>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</si>
  <si>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</si>
  <si>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</si>
  <si>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</si>
  <si>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</si>
  <si>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</si>
  <si>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</si>
  <si>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</si>
  <si>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</si>
  <si>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</si>
  <si>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</si>
  <si>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</si>
  <si>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</si>
  <si>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</si>
  <si>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</si>
  <si>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</si>
  <si>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</si>
  <si>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</si>
  <si>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</si>
  <si>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</si>
  <si>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</si>
  <si>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</si>
  <si>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</si>
  <si>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</si>
  <si>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</si>
  <si>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</si>
  <si>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</si>
  <si>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</si>
  <si>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</si>
  <si>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</si>
  <si>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</si>
  <si>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</si>
  <si>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</si>
  <si>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</si>
  <si>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</si>
  <si>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</si>
  <si>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</si>
  <si>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</si>
  <si>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</si>
  <si>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</si>
  <si>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</si>
  <si>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</si>
  <si>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</si>
  <si>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</si>
  <si>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</si>
  <si>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</si>
  <si>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</si>
  <si>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</si>
  <si>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</si>
  <si>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</si>
  <si>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</si>
  <si>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</si>
  <si>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</si>
  <si>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</si>
  <si>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</si>
  <si>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</si>
  <si>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</si>
  <si>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</si>
  <si>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</si>
  <si>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</si>
  <si>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</si>
  <si>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</si>
  <si>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</si>
  <si>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</si>
  <si>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</si>
  <si>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</si>
  <si>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</si>
  <si>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</si>
  <si>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</si>
  <si>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</si>
  <si>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</si>
  <si>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</si>
  <si>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</si>
  <si>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</si>
  <si>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</si>
  <si>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</si>
  <si>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</si>
  <si>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</si>
  <si>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</si>
  <si>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</si>
  <si>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</si>
  <si>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</si>
  <si>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</si>
  <si>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</si>
  <si>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</si>
  <si>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</si>
  <si>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</si>
  <si>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</si>
  <si>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</si>
  <si>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</si>
  <si>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</si>
  <si>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</si>
  <si>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</si>
  <si>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</si>
  <si>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</si>
  <si>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</si>
  <si>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</si>
  <si>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</si>
  <si>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</si>
  <si>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</si>
  <si>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</si>
  <si>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</si>
  <si>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</si>
  <si>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</si>
  <si>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</si>
  <si>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</si>
  <si>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</si>
  <si>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</si>
  <si>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</si>
  <si>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</si>
  <si>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</si>
  <si>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</si>
  <si>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</si>
  <si>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</si>
  <si>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</si>
  <si>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</si>
  <si>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</si>
  <si>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</si>
  <si>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</si>
  <si>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</si>
  <si>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</si>
  <si>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</si>
  <si>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</si>
  <si>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</si>
  <si>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</si>
  <si>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</si>
  <si>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</si>
  <si>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</si>
  <si>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</si>
  <si>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</si>
  <si>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</si>
  <si>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</si>
  <si>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</si>
  <si>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</si>
  <si>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</si>
  <si>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</si>
  <si>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</si>
  <si>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</si>
  <si>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</si>
  <si>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</si>
  <si>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</si>
  <si>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</si>
  <si>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</si>
  <si>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</si>
  <si>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</si>
  <si>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</si>
  <si>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</si>
  <si>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</si>
  <si>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</si>
  <si>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</si>
  <si>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</si>
  <si>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</si>
  <si>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</si>
  <si>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</si>
  <si>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</si>
  <si>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</si>
  <si>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</si>
  <si>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</si>
  <si>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</si>
  <si>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</si>
  <si>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</si>
  <si>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</si>
  <si>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</si>
  <si>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</si>
  <si>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</si>
  <si>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</si>
  <si>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</si>
  <si>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</si>
  <si>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</si>
  <si>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</si>
  <si>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</si>
  <si>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</si>
  <si>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</si>
  <si>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</si>
  <si>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</si>
  <si>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</si>
  <si>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</si>
  <si>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</si>
  <si>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</si>
  <si>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</si>
  <si>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</si>
  <si>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</si>
  <si>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</si>
  <si>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</si>
  <si>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</si>
  <si>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</si>
  <si>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</si>
  <si>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</si>
  <si>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</si>
  <si>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</si>
  <si>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</si>
  <si>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</si>
  <si>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</si>
  <si>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</si>
  <si>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</si>
  <si>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</si>
  <si>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</si>
  <si>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</si>
  <si>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</si>
  <si>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</si>
  <si>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</si>
  <si>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</si>
  <si>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</si>
  <si>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</si>
  <si>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</si>
  <si>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</si>
  <si>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</si>
  <si>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</si>
  <si>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</si>
  <si>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</si>
  <si>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</si>
  <si>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</si>
  <si>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</si>
  <si>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</si>
  <si>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</si>
  <si>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</si>
  <si>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</si>
  <si>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</si>
  <si>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</si>
  <si>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</si>
  <si>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</si>
  <si>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</si>
  <si>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</si>
  <si>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</si>
  <si>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</si>
  <si>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</si>
  <si>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</si>
  <si>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</si>
  <si>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</si>
  <si>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</si>
  <si>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</si>
  <si>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</si>
  <si>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</si>
  <si>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</si>
  <si>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</si>
  <si>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</si>
  <si>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</si>
  <si>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</si>
  <si>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</si>
  <si>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</si>
  <si>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</si>
  <si>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</si>
  <si>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</si>
  <si>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</si>
  <si>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</si>
  <si>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</si>
  <si>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</si>
  <si>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</si>
  <si>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</si>
  <si>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</si>
  <si>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</si>
  <si>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</si>
  <si>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</si>
  <si>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</si>
  <si>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</si>
  <si>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</si>
  <si>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</si>
  <si>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</si>
  <si>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</si>
  <si>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</si>
  <si>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</si>
  <si>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</si>
  <si>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</si>
  <si>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</si>
  <si>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</si>
  <si>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</si>
  <si>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</si>
  <si>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</si>
  <si>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</si>
  <si>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</si>
  <si>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</si>
  <si>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</si>
  <si>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</si>
  <si>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</si>
  <si>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</si>
  <si>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</si>
  <si>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</si>
  <si>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</si>
  <si>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</si>
  <si>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</si>
  <si>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</si>
  <si>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</si>
  <si>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</si>
  <si>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</si>
  <si>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</si>
  <si>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</si>
  <si>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</si>
  <si>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</si>
  <si>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</si>
  <si>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</si>
  <si>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</si>
  <si>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</si>
  <si>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</si>
  <si>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</si>
  <si>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</si>
  <si>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</si>
  <si>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</si>
  <si>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</si>
  <si>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</si>
  <si>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</si>
  <si>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</si>
  <si>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</si>
  <si>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</si>
  <si>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</si>
  <si>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</si>
  <si>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</si>
  <si>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</si>
  <si>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</si>
  <si>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</si>
  <si>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</si>
  <si>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</si>
  <si>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</si>
  <si>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</si>
  <si>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</si>
  <si>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</si>
  <si>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</si>
  <si>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</si>
  <si>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</si>
  <si>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</si>
  <si>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</si>
  <si>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</si>
  <si>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</si>
  <si>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</si>
  <si>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</si>
  <si>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</si>
  <si>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</si>
  <si>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</si>
  <si>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</si>
  <si>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</si>
  <si>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</si>
  <si>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</si>
  <si>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</si>
  <si>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</si>
  <si>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</si>
  <si>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</si>
  <si>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</si>
  <si>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</si>
  <si>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</si>
  <si>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</si>
  <si>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</si>
  <si>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</si>
  <si>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</si>
  <si>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</si>
  <si>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</si>
  <si>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</si>
  <si>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</si>
  <si>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</si>
  <si>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</si>
  <si>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</si>
  <si>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</si>
  <si>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</si>
  <si>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</si>
  <si>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</si>
  <si>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</si>
  <si>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</si>
  <si>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</si>
  <si>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</si>
  <si>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</si>
  <si>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</si>
  <si>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</si>
  <si>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</si>
  <si>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</si>
  <si>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</si>
  <si>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</si>
  <si>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</si>
  <si>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</si>
  <si>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</si>
  <si>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</si>
  <si>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</si>
  <si>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</si>
  <si>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</si>
  <si>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</si>
  <si>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</si>
  <si>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</si>
  <si>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</si>
  <si>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</si>
  <si>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</si>
  <si>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</si>
  <si>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</si>
  <si>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</si>
  <si>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</si>
  <si>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</si>
  <si>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</si>
  <si>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</si>
  <si>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</si>
  <si>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</si>
  <si>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</si>
  <si>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</si>
  <si>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</si>
  <si>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</si>
  <si>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</si>
  <si>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</si>
  <si>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</si>
  <si>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</si>
  <si>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</si>
  <si>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</si>
  <si>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</si>
  <si>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</si>
  <si>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</si>
  <si>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</si>
  <si>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</si>
  <si>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</si>
  <si>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</si>
  <si>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</si>
  <si>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</si>
  <si>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</si>
  <si>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</si>
  <si>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</si>
  <si>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</si>
  <si>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</si>
  <si>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</si>
  <si>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</si>
  <si>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</si>
  <si>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</si>
  <si>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</si>
  <si>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</si>
  <si>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</si>
  <si>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</si>
  <si>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</si>
  <si>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</si>
  <si>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</si>
  <si>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</si>
  <si>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</si>
  <si>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</si>
  <si>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</si>
  <si>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</si>
  <si>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</si>
  <si>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</si>
  <si>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</si>
  <si>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</si>
  <si>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</si>
  <si>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</si>
  <si>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</si>
  <si>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</si>
  <si>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</si>
  <si>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</si>
  <si>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</si>
  <si>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</si>
  <si>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</si>
  <si>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</si>
  <si>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</si>
  <si>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</si>
  <si>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</si>
  <si>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</si>
  <si>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</si>
  <si>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</si>
  <si>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</si>
  <si>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</si>
  <si>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</si>
  <si>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</si>
  <si>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</si>
  <si>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</si>
  <si>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</si>
  <si>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</si>
  <si>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</si>
  <si>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</si>
  <si>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</si>
  <si>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</si>
  <si>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</si>
  <si>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</si>
  <si>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</si>
  <si>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</si>
  <si>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</si>
  <si>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</si>
  <si>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</si>
  <si>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</si>
  <si>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</si>
  <si>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</si>
  <si>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</si>
  <si>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</si>
  <si>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</si>
  <si>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</si>
  <si>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</si>
  <si>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</si>
  <si>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</si>
  <si>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</si>
  <si>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</si>
  <si>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</si>
  <si>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</si>
  <si>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</si>
  <si>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</si>
  <si>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</si>
  <si>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</si>
  <si>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</si>
  <si>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</si>
  <si>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</si>
  <si>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</si>
  <si>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</si>
  <si>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</si>
  <si>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</si>
  <si>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</si>
  <si>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</si>
  <si>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</si>
  <si>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</si>
  <si>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</si>
  <si>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</si>
  <si>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</si>
  <si>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</si>
  <si>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</si>
  <si>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</si>
  <si>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</si>
  <si>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</si>
  <si>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</si>
  <si>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</si>
  <si>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</si>
  <si>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</si>
  <si>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</si>
  <si>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</si>
  <si>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</si>
  <si>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</si>
  <si>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</si>
  <si>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</si>
  <si>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</si>
  <si>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</si>
  <si>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</si>
  <si>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</si>
  <si>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</si>
  <si>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</si>
  <si>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</si>
  <si>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</si>
  <si>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</si>
  <si>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</si>
  <si>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</si>
  <si>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</si>
  <si>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</si>
  <si>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</si>
  <si>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</si>
  <si>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</si>
  <si>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</si>
  <si>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</si>
  <si>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</si>
  <si>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</si>
  <si>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</si>
  <si>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</si>
  <si>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</si>
  <si>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</si>
  <si>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</si>
  <si>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</si>
  <si>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</si>
  <si>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</si>
  <si>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</si>
  <si>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</si>
  <si>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</si>
  <si>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</si>
  <si>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</si>
  <si>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</si>
  <si>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</si>
  <si>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</si>
  <si>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</si>
  <si>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</si>
  <si>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</si>
  <si>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</si>
  <si>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</si>
  <si>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</si>
  <si>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</si>
  <si>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</si>
  <si>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</si>
  <si>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</si>
  <si>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</si>
  <si>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</si>
  <si>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</si>
  <si>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</si>
  <si>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</si>
  <si>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</si>
  <si>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</si>
  <si>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</si>
  <si>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</si>
  <si>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</si>
  <si>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</si>
  <si>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</si>
  <si>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</si>
  <si>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</si>
  <si>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</si>
  <si>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</si>
  <si>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</si>
  <si>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</si>
  <si>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</si>
  <si>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</si>
  <si>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</si>
  <si>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</si>
  <si>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</si>
  <si>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</si>
  <si>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</si>
  <si>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</si>
  <si>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</si>
  <si>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</si>
  <si>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</si>
  <si>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</si>
  <si>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</si>
  <si>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</si>
  <si>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</si>
  <si>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</si>
  <si>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</si>
  <si>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</si>
  <si>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</si>
  <si>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</si>
  <si>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</si>
  <si>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</si>
  <si>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</si>
  <si>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</si>
  <si>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</si>
  <si>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</si>
  <si>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</si>
  <si>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</si>
  <si>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</si>
  <si>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</si>
  <si>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</si>
  <si>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</si>
  <si>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</si>
  <si>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</si>
  <si>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</si>
  <si>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</si>
  <si>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</si>
  <si>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</si>
  <si>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</si>
  <si>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</si>
  <si>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</si>
  <si>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</si>
  <si>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</si>
  <si>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</si>
  <si>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</si>
  <si>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</si>
  <si>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</si>
  <si>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</si>
  <si>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</si>
  <si>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</si>
  <si>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</si>
  <si>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</si>
  <si>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</si>
  <si>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</si>
  <si>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</si>
  <si>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</si>
  <si>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</si>
  <si>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</si>
  <si>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</si>
  <si>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</si>
  <si>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</si>
  <si>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</si>
  <si>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</si>
  <si>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</si>
  <si>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</si>
  <si>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</si>
  <si>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</si>
  <si>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</si>
  <si>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</si>
  <si>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</si>
  <si>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</si>
  <si>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</si>
  <si>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</si>
  <si>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</si>
  <si>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</si>
  <si>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</si>
  <si>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</si>
  <si>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</si>
  <si>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</si>
  <si>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</si>
  <si>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</si>
  <si>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</si>
  <si>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</si>
  <si>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</si>
  <si>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</si>
  <si>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</si>
  <si>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</si>
  <si>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</si>
  <si>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</si>
  <si>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</si>
  <si>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</si>
  <si>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</si>
  <si>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</si>
  <si>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</si>
  <si>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</si>
  <si>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</si>
  <si>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</si>
  <si>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</si>
  <si>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</si>
  <si>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</si>
  <si>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</si>
  <si>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</si>
  <si>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</si>
  <si>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</si>
  <si>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</si>
  <si>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</si>
  <si>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</si>
  <si>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</si>
  <si>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</si>
  <si>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</si>
  <si>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</si>
  <si>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</si>
  <si>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</si>
  <si>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</si>
  <si>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</si>
  <si>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</si>
  <si>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</si>
  <si>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</si>
  <si>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</si>
  <si>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</si>
  <si>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</si>
  <si>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</si>
  <si>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</si>
  <si>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</si>
  <si>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</si>
  <si>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</si>
  <si>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</si>
  <si>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</si>
  <si>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</si>
  <si>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</si>
  <si>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</si>
  <si>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</si>
  <si>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</si>
  <si>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"Торготерм"АД</t>
  </si>
  <si>
    <t>неконсолидиран</t>
  </si>
  <si>
    <t>Съставител: Евелина Миленска</t>
  </si>
  <si>
    <t>Ръководител:Бойко Недялков</t>
  </si>
  <si>
    <t>Съставител:Евелина Миленска</t>
  </si>
  <si>
    <t>Бойко Недялков</t>
  </si>
  <si>
    <t>Евелина Миленска</t>
  </si>
  <si>
    <t xml:space="preserve"> Ръководител:Бойко Недялков</t>
  </si>
  <si>
    <t xml:space="preserve">                                    Съставител: Евелина Миленска                         </t>
  </si>
  <si>
    <t>Ръководител: Бойко Недялков</t>
  </si>
  <si>
    <t>Дата на съставяне: 08.03.2010 г.</t>
  </si>
  <si>
    <t>Дата на съставяне:08.03.2010 г.</t>
  </si>
  <si>
    <t>Дата на съставяне:08.03.2010</t>
  </si>
  <si>
    <t>Дата на съставяне: 08.03.2011 г.</t>
  </si>
  <si>
    <t>01.01.2010 г.-31.12.2010 г.</t>
  </si>
  <si>
    <t xml:space="preserve">Дата  на съставяне:08.03.2011 г.                                                                                                                         </t>
  </si>
  <si>
    <t xml:space="preserve">Дата на съставяне:       08.03.2011 г.                                </t>
  </si>
  <si>
    <t xml:space="preserve">Дата на съставяне: 08.03.2011 г.                      </t>
  </si>
  <si>
    <t xml:space="preserve">А. ВЗЕМАНИЯ          от Франция                                  </t>
  </si>
  <si>
    <t xml:space="preserve">А. ВЗЕМАНИЯ          от Испания                         </t>
  </si>
  <si>
    <t>Б. ЗАДЪЛЖЕНИЯ към Германия</t>
  </si>
  <si>
    <t>Б. ЗАДЪЛЖЕНИЯ към Франция</t>
  </si>
  <si>
    <t>Б. ЗАДЪЛЖЕНИЯ към Италия</t>
  </si>
  <si>
    <t xml:space="preserve">А. ВЗЕМАНИЯ            Италия             </t>
  </si>
  <si>
    <t xml:space="preserve">А. ВЗЕМАНИЯ              Германия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</si>
</sst>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" fontId="10" fillId="0" borderId="0" xfId="63" applyNumberFormat="1" applyFont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view="pageBreakPreview" zoomScale="60" zoomScalePageLayoutView="0" workbookViewId="0" topLeftCell="A1">
      <selection activeCell="G76" sqref="G7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819363984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870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330</v>
      </c>
      <c r="D11" s="205">
        <v>330</v>
      </c>
      <c r="E11" s="293" t="s">
        <v>22</v>
      </c>
      <c r="F11" s="298" t="s">
        <v>23</v>
      </c>
      <c r="G11" s="206">
        <v>3000</v>
      </c>
      <c r="H11" s="206">
        <v>3000</v>
      </c>
    </row>
    <row r="12" spans="1:8" ht="15">
      <c r="A12" s="291" t="s">
        <v>24</v>
      </c>
      <c r="B12" s="297" t="s">
        <v>25</v>
      </c>
      <c r="C12" s="205">
        <v>1390</v>
      </c>
      <c r="D12" s="205">
        <v>1464</v>
      </c>
      <c r="E12" s="293" t="s">
        <v>26</v>
      </c>
      <c r="F12" s="298" t="s">
        <v>27</v>
      </c>
      <c r="G12" s="207">
        <v>3000</v>
      </c>
      <c r="H12" s="207">
        <v>3000</v>
      </c>
    </row>
    <row r="13" spans="1:8" ht="15">
      <c r="A13" s="291" t="s">
        <v>28</v>
      </c>
      <c r="B13" s="297" t="s">
        <v>29</v>
      </c>
      <c r="C13" s="205">
        <v>2824</v>
      </c>
      <c r="D13" s="205">
        <v>1180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134</v>
      </c>
      <c r="D14" s="205">
        <v>147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31</v>
      </c>
      <c r="D15" s="205">
        <v>79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f>103+23</f>
        <v>126</v>
      </c>
      <c r="D16" s="205">
        <v>165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11</v>
      </c>
      <c r="D17" s="205">
        <v>11</v>
      </c>
      <c r="E17" s="299" t="s">
        <v>46</v>
      </c>
      <c r="F17" s="301" t="s">
        <v>47</v>
      </c>
      <c r="G17" s="208">
        <f>G11+G14+G15+G16</f>
        <v>3000</v>
      </c>
      <c r="H17" s="208">
        <f>H11+H14+H15+H16</f>
        <v>3000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4846</v>
      </c>
      <c r="D19" s="209">
        <f>SUM(D11:D18)</f>
        <v>3376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1348</v>
      </c>
      <c r="H20" s="212">
        <v>1351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300</v>
      </c>
      <c r="H21" s="210">
        <f>SUM(H22:H24)</f>
        <v>300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300</v>
      </c>
      <c r="H22" s="206">
        <v>300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41</v>
      </c>
      <c r="D24" s="205">
        <v>42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1648</v>
      </c>
      <c r="H25" s="208">
        <f>H19+H20+H21</f>
        <v>1651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41</v>
      </c>
      <c r="D27" s="209">
        <f>SUM(D23:D26)</f>
        <v>42</v>
      </c>
      <c r="E27" s="309" t="s">
        <v>83</v>
      </c>
      <c r="F27" s="298" t="s">
        <v>84</v>
      </c>
      <c r="G27" s="208">
        <f>SUM(G28:G30)</f>
        <v>233</v>
      </c>
      <c r="H27" s="208">
        <f>SUM(H28:H30)</f>
        <v>671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674</v>
      </c>
      <c r="H28" s="206">
        <v>671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-441</v>
      </c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180</v>
      </c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>
        <v>-441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413</v>
      </c>
      <c r="H33" s="208">
        <f>H27+H31+H32</f>
        <v>230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5061</v>
      </c>
      <c r="H36" s="208">
        <f>H25+H17+H33</f>
        <v>4881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f>2094-125</f>
        <v>1969</v>
      </c>
      <c r="H44" s="206">
        <v>522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209</v>
      </c>
      <c r="H48" s="206">
        <v>363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2178</v>
      </c>
      <c r="H49" s="208">
        <f>SUM(H43:H48)</f>
        <v>885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172</v>
      </c>
      <c r="H53" s="206">
        <v>146</v>
      </c>
    </row>
    <row r="54" spans="1:8" ht="15">
      <c r="A54" s="291" t="s">
        <v>166</v>
      </c>
      <c r="B54" s="305" t="s">
        <v>167</v>
      </c>
      <c r="C54" s="205">
        <v>128</v>
      </c>
      <c r="D54" s="205">
        <v>117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5015</v>
      </c>
      <c r="D55" s="209">
        <f>D19+D20+D21+D27+D32+D45+D51+D53+D54</f>
        <v>3535</v>
      </c>
      <c r="E55" s="293" t="s">
        <v>172</v>
      </c>
      <c r="F55" s="317" t="s">
        <v>173</v>
      </c>
      <c r="G55" s="208">
        <f>G49+G51+G52+G53+G54</f>
        <v>2350</v>
      </c>
      <c r="H55" s="208">
        <f>H49+H51+H52+H53+H54</f>
        <v>1031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869</v>
      </c>
      <c r="D58" s="205">
        <v>947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425</v>
      </c>
      <c r="D59" s="205">
        <v>484</v>
      </c>
      <c r="E59" s="307" t="s">
        <v>181</v>
      </c>
      <c r="F59" s="298" t="s">
        <v>182</v>
      </c>
      <c r="G59" s="206">
        <v>489</v>
      </c>
      <c r="H59" s="206">
        <v>294</v>
      </c>
      <c r="M59" s="211"/>
    </row>
    <row r="60" spans="1:8" ht="15">
      <c r="A60" s="291" t="s">
        <v>183</v>
      </c>
      <c r="B60" s="297" t="s">
        <v>184</v>
      </c>
      <c r="C60" s="205">
        <v>700</v>
      </c>
      <c r="D60" s="205">
        <v>871</v>
      </c>
      <c r="E60" s="293" t="s">
        <v>185</v>
      </c>
      <c r="F60" s="298" t="s">
        <v>186</v>
      </c>
      <c r="G60" s="206">
        <f>200+125</f>
        <v>325</v>
      </c>
      <c r="H60" s="206">
        <v>212</v>
      </c>
    </row>
    <row r="61" spans="1:18" ht="15">
      <c r="A61" s="291" t="s">
        <v>187</v>
      </c>
      <c r="B61" s="300" t="s">
        <v>188</v>
      </c>
      <c r="C61" s="205">
        <v>588</v>
      </c>
      <c r="D61" s="205">
        <v>487</v>
      </c>
      <c r="E61" s="299" t="s">
        <v>189</v>
      </c>
      <c r="F61" s="328" t="s">
        <v>190</v>
      </c>
      <c r="G61" s="208">
        <f>SUM(G62:G68)</f>
        <v>2378</v>
      </c>
      <c r="H61" s="208">
        <f>SUM(H62:H68)</f>
        <v>2447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>
        <v>35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117</v>
      </c>
      <c r="H63" s="206">
        <v>117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2582</v>
      </c>
      <c r="D64" s="209">
        <f>SUM(D58:D63)</f>
        <v>2789</v>
      </c>
      <c r="E64" s="293" t="s">
        <v>200</v>
      </c>
      <c r="F64" s="298" t="s">
        <v>201</v>
      </c>
      <c r="G64" s="206">
        <f>2107-29</f>
        <v>2078</v>
      </c>
      <c r="H64" s="206">
        <v>1946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29</v>
      </c>
      <c r="H65" s="206">
        <v>108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117</v>
      </c>
      <c r="H66" s="206">
        <v>184</v>
      </c>
    </row>
    <row r="67" spans="1:8" ht="15">
      <c r="A67" s="291" t="s">
        <v>207</v>
      </c>
      <c r="B67" s="297" t="s">
        <v>208</v>
      </c>
      <c r="C67" s="205">
        <f>170+702</f>
        <v>872</v>
      </c>
      <c r="D67" s="205">
        <v>414</v>
      </c>
      <c r="E67" s="293" t="s">
        <v>209</v>
      </c>
      <c r="F67" s="298" t="s">
        <v>210</v>
      </c>
      <c r="G67" s="206">
        <v>30</v>
      </c>
      <c r="H67" s="206">
        <v>41</v>
      </c>
    </row>
    <row r="68" spans="1:8" ht="15">
      <c r="A68" s="291" t="s">
        <v>211</v>
      </c>
      <c r="B68" s="297" t="s">
        <v>212</v>
      </c>
      <c r="C68" s="205">
        <f>2443-170-9+18</f>
        <v>2282</v>
      </c>
      <c r="D68" s="205">
        <v>1882</v>
      </c>
      <c r="E68" s="293" t="s">
        <v>213</v>
      </c>
      <c r="F68" s="298" t="s">
        <v>214</v>
      </c>
      <c r="G68" s="206">
        <v>7</v>
      </c>
      <c r="H68" s="206">
        <v>16</v>
      </c>
    </row>
    <row r="69" spans="1:8" ht="15">
      <c r="A69" s="291" t="s">
        <v>215</v>
      </c>
      <c r="B69" s="297" t="s">
        <v>216</v>
      </c>
      <c r="C69" s="205">
        <v>9</v>
      </c>
      <c r="D69" s="205">
        <v>10</v>
      </c>
      <c r="E69" s="307" t="s">
        <v>78</v>
      </c>
      <c r="F69" s="298" t="s">
        <v>217</v>
      </c>
      <c r="G69" s="206">
        <v>64</v>
      </c>
      <c r="H69" s="206">
        <v>56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10</v>
      </c>
      <c r="D71" s="205">
        <v>10</v>
      </c>
      <c r="E71" s="309" t="s">
        <v>46</v>
      </c>
      <c r="F71" s="329" t="s">
        <v>224</v>
      </c>
      <c r="G71" s="215">
        <f>G59+G60+G61+G69+G70</f>
        <v>3256</v>
      </c>
      <c r="H71" s="215">
        <f>H59+H60+H61+H69+H70</f>
        <v>3009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99</v>
      </c>
      <c r="D72" s="205">
        <v>255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f>715-10-702</f>
        <v>3</v>
      </c>
      <c r="D74" s="205">
        <v>31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3275</v>
      </c>
      <c r="D75" s="209">
        <f>SUM(D67:D74)</f>
        <v>2602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224</v>
      </c>
      <c r="H76" s="206">
        <v>33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3480</v>
      </c>
      <c r="H79" s="216">
        <f>H71+H74+H75+H76</f>
        <v>3042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3</v>
      </c>
      <c r="D87" s="205">
        <v>13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16</v>
      </c>
      <c r="D88" s="205">
        <v>15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19</v>
      </c>
      <c r="D91" s="209">
        <f>SUM(D87:D90)</f>
        <v>28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5876</v>
      </c>
      <c r="D93" s="209">
        <f>D64+D75+D84+D91+D92</f>
        <v>5419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10891</v>
      </c>
      <c r="D94" s="218">
        <f>D93+D55</f>
        <v>8954</v>
      </c>
      <c r="E94" s="558" t="s">
        <v>270</v>
      </c>
      <c r="F94" s="345" t="s">
        <v>271</v>
      </c>
      <c r="G94" s="219">
        <f>G36+G39+G55+G79</f>
        <v>10891</v>
      </c>
      <c r="H94" s="219">
        <f>H36+H39+H55+H79</f>
        <v>8954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598"/>
      <c r="H96" s="598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599" t="s">
        <v>858</v>
      </c>
      <c r="D98" s="599"/>
      <c r="E98" s="59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859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D88" sqref="D8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3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г.-31.12.2010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875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530</v>
      </c>
      <c r="D28" s="153">
        <v>530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530</v>
      </c>
      <c r="D43" s="149">
        <f>D24+D28+D29+D31+D30+D32+D33+D38</f>
        <v>530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530</v>
      </c>
      <c r="D44" s="148">
        <f>D43+D21+D19+D9</f>
        <v>530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</v>
      </c>
      <c r="D85" s="149">
        <f>SUM(D86:D90)+D94</f>
        <v>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</v>
      </c>
      <c r="D87" s="153">
        <v>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6</v>
      </c>
      <c r="D96" s="149">
        <f>D85+D80+D75+D71+D95</f>
        <v>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6</v>
      </c>
      <c r="D97" s="149">
        <f>D96+D68+D66</f>
        <v>6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860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859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6" sqref="A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3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г.-31.12.2010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880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876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35</v>
      </c>
      <c r="D85" s="149">
        <f>SUM(D86:D90)+D94</f>
        <v>35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35</v>
      </c>
      <c r="D87" s="153">
        <v>35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35</v>
      </c>
      <c r="D96" s="149">
        <f>D85+D80+D75+D71+D95</f>
        <v>35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35</v>
      </c>
      <c r="D97" s="149">
        <f>D96+D68+D66</f>
        <v>35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860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859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A6" sqref="A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3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г.-31.12.2010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879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878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275</v>
      </c>
      <c r="D85" s="149">
        <f>SUM(D86:D90)+D94</f>
        <v>275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275</v>
      </c>
      <c r="D87" s="153">
        <v>275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275</v>
      </c>
      <c r="D96" s="149">
        <f>D85+D80+D75+D71+D95</f>
        <v>275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275</v>
      </c>
      <c r="D97" s="149">
        <f>D96+D68+D66</f>
        <v>275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860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859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C41" sqref="C4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"Торготерм"АД</v>
      </c>
      <c r="F2" s="602" t="s">
        <v>2</v>
      </c>
      <c r="G2" s="602"/>
      <c r="H2" s="353">
        <f>'справка №1-БАЛАНС'!H3</f>
        <v>819363984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г.-31.12.2010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f>4176+521</f>
        <v>4697</v>
      </c>
      <c r="D9" s="79">
        <v>3950</v>
      </c>
      <c r="E9" s="363" t="s">
        <v>283</v>
      </c>
      <c r="F9" s="365" t="s">
        <v>284</v>
      </c>
      <c r="G9" s="87">
        <v>7160</v>
      </c>
      <c r="H9" s="87">
        <v>6026</v>
      </c>
    </row>
    <row r="10" spans="1:8" ht="12">
      <c r="A10" s="363" t="s">
        <v>285</v>
      </c>
      <c r="B10" s="364" t="s">
        <v>286</v>
      </c>
      <c r="C10" s="79">
        <v>243</v>
      </c>
      <c r="D10" s="79">
        <v>393</v>
      </c>
      <c r="E10" s="363" t="s">
        <v>287</v>
      </c>
      <c r="F10" s="365" t="s">
        <v>288</v>
      </c>
      <c r="G10" s="87">
        <v>423</v>
      </c>
      <c r="H10" s="87">
        <v>704</v>
      </c>
    </row>
    <row r="11" spans="1:8" ht="12">
      <c r="A11" s="363" t="s">
        <v>289</v>
      </c>
      <c r="B11" s="364" t="s">
        <v>290</v>
      </c>
      <c r="C11" s="79">
        <v>570</v>
      </c>
      <c r="D11" s="79">
        <v>651</v>
      </c>
      <c r="E11" s="366" t="s">
        <v>291</v>
      </c>
      <c r="F11" s="365" t="s">
        <v>292</v>
      </c>
      <c r="G11" s="87">
        <v>100</v>
      </c>
      <c r="H11" s="87">
        <v>92</v>
      </c>
    </row>
    <row r="12" spans="1:8" ht="12">
      <c r="A12" s="363" t="s">
        <v>293</v>
      </c>
      <c r="B12" s="364" t="s">
        <v>294</v>
      </c>
      <c r="C12" s="79">
        <v>1632</v>
      </c>
      <c r="D12" s="79">
        <v>1558</v>
      </c>
      <c r="E12" s="366" t="s">
        <v>78</v>
      </c>
      <c r="F12" s="365" t="s">
        <v>295</v>
      </c>
      <c r="G12" s="87">
        <v>212</v>
      </c>
      <c r="H12" s="87">
        <v>249</v>
      </c>
    </row>
    <row r="13" spans="1:18" ht="12">
      <c r="A13" s="363" t="s">
        <v>296</v>
      </c>
      <c r="B13" s="364" t="s">
        <v>297</v>
      </c>
      <c r="C13" s="79">
        <v>181</v>
      </c>
      <c r="D13" s="79">
        <v>209</v>
      </c>
      <c r="E13" s="367" t="s">
        <v>51</v>
      </c>
      <c r="F13" s="368" t="s">
        <v>298</v>
      </c>
      <c r="G13" s="88">
        <f>SUM(G9:G12)</f>
        <v>7895</v>
      </c>
      <c r="H13" s="88">
        <f>SUM(H9:H12)</f>
        <v>7071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436</v>
      </c>
      <c r="D14" s="79">
        <v>622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f>62-521</f>
        <v>-459</v>
      </c>
      <c r="D15" s="80">
        <v>-407</v>
      </c>
      <c r="E15" s="361" t="s">
        <v>303</v>
      </c>
      <c r="F15" s="370" t="s">
        <v>304</v>
      </c>
      <c r="G15" s="87">
        <v>63</v>
      </c>
      <c r="H15" s="87">
        <v>80</v>
      </c>
    </row>
    <row r="16" spans="1:8" ht="12">
      <c r="A16" s="363" t="s">
        <v>305</v>
      </c>
      <c r="B16" s="364" t="s">
        <v>306</v>
      </c>
      <c r="C16" s="80">
        <f>279-1</f>
        <v>278</v>
      </c>
      <c r="D16" s="80">
        <v>488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7578</v>
      </c>
      <c r="D19" s="82">
        <f>SUM(D9:D15)+D16</f>
        <v>7464</v>
      </c>
      <c r="E19" s="373" t="s">
        <v>315</v>
      </c>
      <c r="F19" s="369" t="s">
        <v>316</v>
      </c>
      <c r="G19" s="87">
        <v>5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134</v>
      </c>
      <c r="D22" s="79">
        <v>105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8</v>
      </c>
      <c r="D24" s="79">
        <v>6</v>
      </c>
      <c r="E24" s="367" t="s">
        <v>103</v>
      </c>
      <c r="F24" s="370" t="s">
        <v>332</v>
      </c>
      <c r="G24" s="88">
        <f>SUM(G19:G23)</f>
        <v>5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49</v>
      </c>
      <c r="D25" s="79">
        <v>20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191</v>
      </c>
      <c r="D26" s="82">
        <f>SUM(D22:D25)</f>
        <v>131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7769</v>
      </c>
      <c r="D28" s="83">
        <f>D26+D19</f>
        <v>7595</v>
      </c>
      <c r="E28" s="174" t="s">
        <v>337</v>
      </c>
      <c r="F28" s="370" t="s">
        <v>338</v>
      </c>
      <c r="G28" s="88">
        <f>G13+G15+G24</f>
        <v>7963</v>
      </c>
      <c r="H28" s="88">
        <f>H13+H15+H24</f>
        <v>7151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194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444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7769</v>
      </c>
      <c r="D33" s="82">
        <f>D28-D31+D32</f>
        <v>7595</v>
      </c>
      <c r="E33" s="174" t="s">
        <v>351</v>
      </c>
      <c r="F33" s="370" t="s">
        <v>352</v>
      </c>
      <c r="G33" s="90">
        <f>G32-G31+G28</f>
        <v>7963</v>
      </c>
      <c r="H33" s="90">
        <f>H32-H31+H28</f>
        <v>7151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194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444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14</v>
      </c>
      <c r="D35" s="82">
        <f>D36+D37+D38</f>
        <v>-3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14</v>
      </c>
      <c r="D37" s="537">
        <v>-3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180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441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180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441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7963</v>
      </c>
      <c r="D42" s="86">
        <f>D33+D35+D39</f>
        <v>7592</v>
      </c>
      <c r="E42" s="177" t="s">
        <v>378</v>
      </c>
      <c r="F42" s="178" t="s">
        <v>379</v>
      </c>
      <c r="G42" s="90">
        <f>G39+G33</f>
        <v>7963</v>
      </c>
      <c r="H42" s="90">
        <f>H39+H33</f>
        <v>7592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1" t="s">
        <v>862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861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39" sqref="C3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"Торготерм"АД</v>
      </c>
      <c r="C4" s="397" t="s">
        <v>2</v>
      </c>
      <c r="D4" s="353">
        <f>'справка №1-БАЛАНС'!H3</f>
        <v>819363984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г.-31.12.2010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7678</v>
      </c>
      <c r="D10" s="92">
        <v>7361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-6493</v>
      </c>
      <c r="D11" s="92">
        <v>-5339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-994</v>
      </c>
      <c r="D13" s="92">
        <v>-1484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465</v>
      </c>
      <c r="D14" s="92">
        <v>377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74</v>
      </c>
      <c r="D15" s="92">
        <v>-3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5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-8</v>
      </c>
      <c r="D18" s="92">
        <v>-6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</v>
      </c>
      <c r="D19" s="92">
        <v>-220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721</v>
      </c>
      <c r="D20" s="93">
        <f>SUM(D10:D19)</f>
        <v>686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-1956</v>
      </c>
      <c r="D22" s="92">
        <v>-296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9</v>
      </c>
      <c r="D23" s="92">
        <v>5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-1947</v>
      </c>
      <c r="D32" s="93">
        <f>SUM(D22:D31)</f>
        <v>-291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2438</v>
      </c>
      <c r="D36" s="92">
        <v>411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-682</v>
      </c>
      <c r="D37" s="92">
        <v>-200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-155</v>
      </c>
      <c r="D38" s="92">
        <v>-164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f>-70-42</f>
        <v>-112</v>
      </c>
      <c r="D39" s="92">
        <v>-79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>
        <v>-245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-272</v>
      </c>
      <c r="D41" s="92">
        <v>-114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1217</v>
      </c>
      <c r="D42" s="93">
        <f>SUM(D34:D41)</f>
        <v>-391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-9</v>
      </c>
      <c r="D43" s="93">
        <f>D42+D32+D20</f>
        <v>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28</v>
      </c>
      <c r="D44" s="184">
        <v>24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19</v>
      </c>
      <c r="D45" s="93">
        <f>D44+D43</f>
        <v>28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862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3" t="s">
        <v>861</v>
      </c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"Торготерм"АД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819363984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 г.-31.12.2010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3000</v>
      </c>
      <c r="D11" s="96">
        <f>'справка №1-БАЛАНС'!H19</f>
        <v>0</v>
      </c>
      <c r="E11" s="96">
        <f>'справка №1-БАЛАНС'!H20</f>
        <v>1351</v>
      </c>
      <c r="F11" s="96">
        <f>'справка №1-БАЛАНС'!H22</f>
        <v>300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671</v>
      </c>
      <c r="J11" s="96">
        <f>'справка №1-БАЛАНС'!H29+'справка №1-БАЛАНС'!H32</f>
        <v>-441</v>
      </c>
      <c r="K11" s="98"/>
      <c r="L11" s="424">
        <f>SUM(C11:K11)</f>
        <v>4881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3000</v>
      </c>
      <c r="D15" s="99">
        <f aca="true" t="shared" si="2" ref="D15:M15">D11+D12</f>
        <v>0</v>
      </c>
      <c r="E15" s="99">
        <f t="shared" si="2"/>
        <v>1351</v>
      </c>
      <c r="F15" s="99">
        <f t="shared" si="2"/>
        <v>300</v>
      </c>
      <c r="G15" s="99">
        <f t="shared" si="2"/>
        <v>0</v>
      </c>
      <c r="H15" s="99">
        <f t="shared" si="2"/>
        <v>0</v>
      </c>
      <c r="I15" s="99">
        <f t="shared" si="2"/>
        <v>671</v>
      </c>
      <c r="J15" s="99">
        <f t="shared" si="2"/>
        <v>-441</v>
      </c>
      <c r="K15" s="99">
        <f t="shared" si="2"/>
        <v>0</v>
      </c>
      <c r="L15" s="424">
        <f t="shared" si="1"/>
        <v>4881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180</v>
      </c>
      <c r="J16" s="425">
        <f>+'справка №1-БАЛАНС'!G32</f>
        <v>0</v>
      </c>
      <c r="K16" s="98"/>
      <c r="L16" s="424">
        <f t="shared" si="1"/>
        <v>180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-3</v>
      </c>
      <c r="F28" s="98"/>
      <c r="G28" s="98"/>
      <c r="H28" s="98"/>
      <c r="I28" s="98">
        <v>3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3000</v>
      </c>
      <c r="D29" s="97">
        <f aca="true" t="shared" si="6" ref="D29:M29">D17+D20+D21+D24+D28+D27+D15+D16</f>
        <v>0</v>
      </c>
      <c r="E29" s="97">
        <f t="shared" si="6"/>
        <v>1348</v>
      </c>
      <c r="F29" s="97">
        <f t="shared" si="6"/>
        <v>300</v>
      </c>
      <c r="G29" s="97">
        <f t="shared" si="6"/>
        <v>0</v>
      </c>
      <c r="H29" s="97">
        <f t="shared" si="6"/>
        <v>0</v>
      </c>
      <c r="I29" s="97">
        <f t="shared" si="6"/>
        <v>854</v>
      </c>
      <c r="J29" s="97">
        <f t="shared" si="6"/>
        <v>-441</v>
      </c>
      <c r="K29" s="97">
        <f t="shared" si="6"/>
        <v>0</v>
      </c>
      <c r="L29" s="424">
        <f t="shared" si="1"/>
        <v>5061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3000</v>
      </c>
      <c r="D32" s="97">
        <f t="shared" si="7"/>
        <v>0</v>
      </c>
      <c r="E32" s="97">
        <f t="shared" si="7"/>
        <v>1348</v>
      </c>
      <c r="F32" s="97">
        <f t="shared" si="7"/>
        <v>300</v>
      </c>
      <c r="G32" s="97">
        <f t="shared" si="7"/>
        <v>0</v>
      </c>
      <c r="H32" s="97">
        <f t="shared" si="7"/>
        <v>0</v>
      </c>
      <c r="I32" s="97">
        <f t="shared" si="7"/>
        <v>854</v>
      </c>
      <c r="J32" s="97">
        <f t="shared" si="7"/>
        <v>-441</v>
      </c>
      <c r="K32" s="97">
        <f t="shared" si="7"/>
        <v>0</v>
      </c>
      <c r="L32" s="424">
        <f t="shared" si="1"/>
        <v>5061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871</v>
      </c>
      <c r="B35" s="37"/>
      <c r="C35" s="24"/>
      <c r="D35" s="605" t="s">
        <v>860</v>
      </c>
      <c r="E35" s="605"/>
      <c r="F35" s="605"/>
      <c r="G35" s="605"/>
      <c r="H35" s="605"/>
      <c r="I35" s="605"/>
      <c r="J35" s="24" t="s">
        <v>863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"Торготерм"АД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819363984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01.01.2010 г.-31.12.2010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522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8" t="s">
        <v>528</v>
      </c>
      <c r="R5" s="618" t="s">
        <v>529</v>
      </c>
    </row>
    <row r="6" spans="1:18" s="44" customFormat="1" ht="48">
      <c r="A6" s="624"/>
      <c r="B6" s="625"/>
      <c r="C6" s="62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9"/>
      <c r="R6" s="61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330</v>
      </c>
      <c r="E9" s="243"/>
      <c r="F9" s="243"/>
      <c r="G9" s="113">
        <f>D9+E9-F9</f>
        <v>330</v>
      </c>
      <c r="H9" s="103"/>
      <c r="I9" s="103"/>
      <c r="J9" s="113">
        <f>G9+H9-I9</f>
        <v>330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1843</v>
      </c>
      <c r="E10" s="243"/>
      <c r="F10" s="243"/>
      <c r="G10" s="113">
        <f aca="true" t="shared" si="2" ref="G10:G39">D10+E10-F10</f>
        <v>1843</v>
      </c>
      <c r="H10" s="103"/>
      <c r="I10" s="103"/>
      <c r="J10" s="113">
        <f aca="true" t="shared" si="3" ref="J10:J39">G10+H10-I10</f>
        <v>1843</v>
      </c>
      <c r="K10" s="103">
        <v>379</v>
      </c>
      <c r="L10" s="103">
        <v>74</v>
      </c>
      <c r="M10" s="103"/>
      <c r="N10" s="113">
        <f aca="true" t="shared" si="4" ref="N10:N39">K10+L10-M10</f>
        <v>453</v>
      </c>
      <c r="O10" s="103"/>
      <c r="P10" s="103"/>
      <c r="Q10" s="113">
        <f t="shared" si="0"/>
        <v>453</v>
      </c>
      <c r="R10" s="113">
        <f t="shared" si="1"/>
        <v>1390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4968</v>
      </c>
      <c r="E11" s="243">
        <f>3+2016</f>
        <v>2019</v>
      </c>
      <c r="F11" s="243">
        <v>35</v>
      </c>
      <c r="G11" s="113">
        <f t="shared" si="2"/>
        <v>6952</v>
      </c>
      <c r="H11" s="103"/>
      <c r="I11" s="103"/>
      <c r="J11" s="113">
        <f t="shared" si="3"/>
        <v>6952</v>
      </c>
      <c r="K11" s="103">
        <v>3788</v>
      </c>
      <c r="L11" s="103">
        <v>375</v>
      </c>
      <c r="M11" s="103">
        <v>35</v>
      </c>
      <c r="N11" s="113">
        <f t="shared" si="4"/>
        <v>4128</v>
      </c>
      <c r="O11" s="103"/>
      <c r="P11" s="103"/>
      <c r="Q11" s="113">
        <f t="shared" si="0"/>
        <v>4128</v>
      </c>
      <c r="R11" s="113">
        <f t="shared" si="1"/>
        <v>2824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329</v>
      </c>
      <c r="E12" s="243"/>
      <c r="F12" s="243"/>
      <c r="G12" s="113">
        <f t="shared" si="2"/>
        <v>329</v>
      </c>
      <c r="H12" s="103"/>
      <c r="I12" s="103"/>
      <c r="J12" s="113">
        <f t="shared" si="3"/>
        <v>329</v>
      </c>
      <c r="K12" s="103">
        <v>182</v>
      </c>
      <c r="L12" s="103">
        <v>13</v>
      </c>
      <c r="M12" s="103"/>
      <c r="N12" s="113">
        <f t="shared" si="4"/>
        <v>195</v>
      </c>
      <c r="O12" s="103"/>
      <c r="P12" s="103"/>
      <c r="Q12" s="113">
        <f t="shared" si="0"/>
        <v>195</v>
      </c>
      <c r="R12" s="113">
        <f t="shared" si="1"/>
        <v>134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270</v>
      </c>
      <c r="E13" s="243"/>
      <c r="F13" s="243">
        <v>48</v>
      </c>
      <c r="G13" s="113">
        <f t="shared" si="2"/>
        <v>222</v>
      </c>
      <c r="H13" s="103"/>
      <c r="I13" s="103"/>
      <c r="J13" s="113">
        <f t="shared" si="3"/>
        <v>222</v>
      </c>
      <c r="K13" s="103">
        <v>191</v>
      </c>
      <c r="L13" s="103">
        <v>39</v>
      </c>
      <c r="M13" s="103">
        <v>39</v>
      </c>
      <c r="N13" s="113">
        <f t="shared" si="4"/>
        <v>191</v>
      </c>
      <c r="O13" s="103"/>
      <c r="P13" s="103"/>
      <c r="Q13" s="113">
        <f t="shared" si="0"/>
        <v>191</v>
      </c>
      <c r="R13" s="113">
        <f t="shared" si="1"/>
        <v>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707</v>
      </c>
      <c r="E14" s="243">
        <f>14+1</f>
        <v>15</v>
      </c>
      <c r="F14" s="243">
        <f>13+3</f>
        <v>16</v>
      </c>
      <c r="G14" s="113">
        <f t="shared" si="2"/>
        <v>706</v>
      </c>
      <c r="H14" s="103"/>
      <c r="I14" s="103"/>
      <c r="J14" s="113">
        <f t="shared" si="3"/>
        <v>706</v>
      </c>
      <c r="K14" s="103">
        <v>542</v>
      </c>
      <c r="L14" s="103">
        <f>15+23+16</f>
        <v>54</v>
      </c>
      <c r="M14" s="103">
        <f>13+3</f>
        <v>16</v>
      </c>
      <c r="N14" s="113">
        <f t="shared" si="4"/>
        <v>580</v>
      </c>
      <c r="O14" s="103"/>
      <c r="P14" s="103"/>
      <c r="Q14" s="113">
        <f t="shared" si="0"/>
        <v>580</v>
      </c>
      <c r="R14" s="113">
        <f t="shared" si="1"/>
        <v>126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11</v>
      </c>
      <c r="E15" s="565"/>
      <c r="F15" s="565"/>
      <c r="G15" s="113">
        <f t="shared" si="2"/>
        <v>11</v>
      </c>
      <c r="H15" s="566"/>
      <c r="I15" s="566"/>
      <c r="J15" s="113">
        <f t="shared" si="3"/>
        <v>11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8458</v>
      </c>
      <c r="E17" s="248">
        <f>SUM(E9:E16)</f>
        <v>2034</v>
      </c>
      <c r="F17" s="248">
        <f>SUM(F9:F16)</f>
        <v>99</v>
      </c>
      <c r="G17" s="113">
        <f t="shared" si="2"/>
        <v>10393</v>
      </c>
      <c r="H17" s="114">
        <f>SUM(H9:H16)</f>
        <v>0</v>
      </c>
      <c r="I17" s="114">
        <f>SUM(I9:I16)</f>
        <v>0</v>
      </c>
      <c r="J17" s="113">
        <f t="shared" si="3"/>
        <v>10393</v>
      </c>
      <c r="K17" s="114">
        <f>SUM(K9:K16)</f>
        <v>5082</v>
      </c>
      <c r="L17" s="114">
        <f>SUM(L9:L16)</f>
        <v>555</v>
      </c>
      <c r="M17" s="114">
        <f>SUM(M9:M16)</f>
        <v>90</v>
      </c>
      <c r="N17" s="113">
        <f t="shared" si="4"/>
        <v>5547</v>
      </c>
      <c r="O17" s="114">
        <f>SUM(O9:O16)</f>
        <v>0</v>
      </c>
      <c r="P17" s="114">
        <f>SUM(P9:P16)</f>
        <v>0</v>
      </c>
      <c r="Q17" s="113">
        <f t="shared" si="5"/>
        <v>5547</v>
      </c>
      <c r="R17" s="113">
        <f t="shared" si="6"/>
        <v>4846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74</v>
      </c>
      <c r="E22" s="243">
        <v>15</v>
      </c>
      <c r="F22" s="243">
        <v>3</v>
      </c>
      <c r="G22" s="113">
        <f t="shared" si="2"/>
        <v>86</v>
      </c>
      <c r="H22" s="103"/>
      <c r="I22" s="103"/>
      <c r="J22" s="113">
        <f t="shared" si="3"/>
        <v>86</v>
      </c>
      <c r="K22" s="103">
        <v>32</v>
      </c>
      <c r="L22" s="103">
        <v>16</v>
      </c>
      <c r="M22" s="103">
        <v>3</v>
      </c>
      <c r="N22" s="113">
        <f t="shared" si="4"/>
        <v>45</v>
      </c>
      <c r="O22" s="103"/>
      <c r="P22" s="103"/>
      <c r="Q22" s="113">
        <f t="shared" si="5"/>
        <v>45</v>
      </c>
      <c r="R22" s="113">
        <f t="shared" si="6"/>
        <v>41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74</v>
      </c>
      <c r="E25" s="244">
        <f aca="true" t="shared" si="7" ref="E25:P25">SUM(E21:E24)</f>
        <v>15</v>
      </c>
      <c r="F25" s="244">
        <f t="shared" si="7"/>
        <v>3</v>
      </c>
      <c r="G25" s="105">
        <f t="shared" si="2"/>
        <v>86</v>
      </c>
      <c r="H25" s="104">
        <f t="shared" si="7"/>
        <v>0</v>
      </c>
      <c r="I25" s="104">
        <f t="shared" si="7"/>
        <v>0</v>
      </c>
      <c r="J25" s="105">
        <f t="shared" si="3"/>
        <v>86</v>
      </c>
      <c r="K25" s="104">
        <f t="shared" si="7"/>
        <v>32</v>
      </c>
      <c r="L25" s="104">
        <f t="shared" si="7"/>
        <v>16</v>
      </c>
      <c r="M25" s="104">
        <f t="shared" si="7"/>
        <v>3</v>
      </c>
      <c r="N25" s="105">
        <f t="shared" si="4"/>
        <v>45</v>
      </c>
      <c r="O25" s="104">
        <f t="shared" si="7"/>
        <v>0</v>
      </c>
      <c r="P25" s="104">
        <f t="shared" si="7"/>
        <v>0</v>
      </c>
      <c r="Q25" s="105">
        <f t="shared" si="5"/>
        <v>45</v>
      </c>
      <c r="R25" s="105">
        <f t="shared" si="6"/>
        <v>41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8532</v>
      </c>
      <c r="E40" s="547">
        <f>E17+E18+E19+E25+E38+E39</f>
        <v>2049</v>
      </c>
      <c r="F40" s="547">
        <f aca="true" t="shared" si="13" ref="F40:R40">F17+F18+F19+F25+F38+F39</f>
        <v>102</v>
      </c>
      <c r="G40" s="547">
        <f t="shared" si="13"/>
        <v>10479</v>
      </c>
      <c r="H40" s="547">
        <f t="shared" si="13"/>
        <v>0</v>
      </c>
      <c r="I40" s="547">
        <f t="shared" si="13"/>
        <v>0</v>
      </c>
      <c r="J40" s="547">
        <f t="shared" si="13"/>
        <v>10479</v>
      </c>
      <c r="K40" s="547">
        <f t="shared" si="13"/>
        <v>5114</v>
      </c>
      <c r="L40" s="547">
        <f t="shared" si="13"/>
        <v>571</v>
      </c>
      <c r="M40" s="547">
        <f t="shared" si="13"/>
        <v>93</v>
      </c>
      <c r="N40" s="547">
        <f t="shared" si="13"/>
        <v>5592</v>
      </c>
      <c r="O40" s="547">
        <f t="shared" si="13"/>
        <v>0</v>
      </c>
      <c r="P40" s="547">
        <f t="shared" si="13"/>
        <v>0</v>
      </c>
      <c r="Q40" s="547">
        <f t="shared" si="13"/>
        <v>5592</v>
      </c>
      <c r="R40" s="547">
        <f t="shared" si="13"/>
        <v>4887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28"/>
      <c r="L44" s="628"/>
      <c r="M44" s="628"/>
      <c r="N44" s="628"/>
      <c r="O44" s="614" t="s">
        <v>859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0">
      <selection activeCell="C28" sqref="C2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3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г.-31.12.2010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128</v>
      </c>
      <c r="D21" s="153"/>
      <c r="E21" s="166">
        <f t="shared" si="0"/>
        <v>128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872</v>
      </c>
      <c r="D24" s="165">
        <f>SUM(D25:D27)</f>
        <v>872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872</v>
      </c>
      <c r="D27" s="153">
        <v>872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f>2282-1437-530</f>
        <v>315</v>
      </c>
      <c r="D28" s="153">
        <f>2282-1437-530</f>
        <v>315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9</v>
      </c>
      <c r="D29" s="153">
        <v>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10</v>
      </c>
      <c r="D31" s="153">
        <v>10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99</v>
      </c>
      <c r="D33" s="150">
        <f>SUM(D34:D37)</f>
        <v>99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99</v>
      </c>
      <c r="D35" s="153">
        <v>99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3</v>
      </c>
      <c r="D38" s="150">
        <f>SUM(D39:D42)</f>
        <v>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3</v>
      </c>
      <c r="D42" s="153">
        <v>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1308</v>
      </c>
      <c r="D43" s="149">
        <f>D24+D28+D29+D31+D30+D32+D33+D38</f>
        <v>1308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1436</v>
      </c>
      <c r="D44" s="148">
        <f>D43+D21+D19+D9</f>
        <v>1308</v>
      </c>
      <c r="E44" s="164">
        <f>E43+E21+E19+E9</f>
        <v>128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1969</v>
      </c>
      <c r="D56" s="148">
        <f>D57+D59</f>
        <v>0</v>
      </c>
      <c r="E56" s="165">
        <f t="shared" si="1"/>
        <v>1969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1969</v>
      </c>
      <c r="D57" s="153"/>
      <c r="E57" s="165">
        <f t="shared" si="1"/>
        <v>1969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209</v>
      </c>
      <c r="D64" s="153"/>
      <c r="E64" s="165">
        <f t="shared" si="1"/>
        <v>209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209</v>
      </c>
      <c r="D65" s="154"/>
      <c r="E65" s="165">
        <f t="shared" si="1"/>
        <v>209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2178</v>
      </c>
      <c r="D66" s="148">
        <f>D52+D56+D61+D62+D63+D64</f>
        <v>0</v>
      </c>
      <c r="E66" s="165">
        <f t="shared" si="1"/>
        <v>2178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172</v>
      </c>
      <c r="D68" s="153"/>
      <c r="E68" s="165">
        <f t="shared" si="1"/>
        <v>172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489</v>
      </c>
      <c r="D75" s="148">
        <f>D76+D78</f>
        <v>489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489</v>
      </c>
      <c r="D76" s="153">
        <v>489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325</v>
      </c>
      <c r="D80" s="148">
        <f>SUM(D81:D84)</f>
        <v>325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325</v>
      </c>
      <c r="D83" s="153">
        <v>325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2055</v>
      </c>
      <c r="D85" s="149">
        <f>SUM(D86:D90)+D94</f>
        <v>2055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117</v>
      </c>
      <c r="D86" s="153">
        <v>117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f>2078-7-6-35-275</f>
        <v>1755</v>
      </c>
      <c r="D87" s="153">
        <f>2078-7-6-35-275</f>
        <v>1755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29</v>
      </c>
      <c r="D88" s="153">
        <v>29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117</v>
      </c>
      <c r="D89" s="153">
        <v>117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7</v>
      </c>
      <c r="D90" s="148">
        <f>SUM(D91:D93)</f>
        <v>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7</v>
      </c>
      <c r="D93" s="153">
        <v>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30</v>
      </c>
      <c r="D94" s="153">
        <v>30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64</v>
      </c>
      <c r="D95" s="153">
        <v>64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2933</v>
      </c>
      <c r="D96" s="149">
        <f>D85+D80+D75+D71+D95</f>
        <v>2933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5283</v>
      </c>
      <c r="D97" s="149">
        <f>D96+D68+D66</f>
        <v>2933</v>
      </c>
      <c r="E97" s="149">
        <f>E96+E68+E66</f>
        <v>2350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860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859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"Торготерм"АД</v>
      </c>
      <c r="D4" s="612"/>
      <c r="E4" s="612"/>
      <c r="F4" s="578"/>
      <c r="G4" s="580" t="s">
        <v>2</v>
      </c>
      <c r="H4" s="580"/>
      <c r="I4" s="589">
        <f>'справка №1-БАЛАНС'!H3</f>
        <v>819363984</v>
      </c>
    </row>
    <row r="5" spans="1:9" ht="15">
      <c r="A5" s="522" t="s">
        <v>5</v>
      </c>
      <c r="B5" s="579"/>
      <c r="C5" s="606" t="str">
        <f>'справка №1-БАЛАНС'!E5</f>
        <v>01.01.2010 г.-31.12.2010 г.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7"/>
      <c r="C30" s="637"/>
      <c r="D30" s="568" t="s">
        <v>817</v>
      </c>
      <c r="E30" s="635"/>
      <c r="F30" s="635"/>
      <c r="G30" s="635"/>
      <c r="H30" s="519" t="s">
        <v>779</v>
      </c>
      <c r="I30" s="635"/>
      <c r="J30" s="635"/>
    </row>
    <row r="31" spans="1:10" s="115" customFormat="1" ht="12">
      <c r="A31" s="437"/>
      <c r="B31" s="520"/>
      <c r="C31" s="437"/>
      <c r="D31" s="635" t="s">
        <v>862</v>
      </c>
      <c r="E31" s="635"/>
      <c r="F31" s="635"/>
      <c r="G31" s="510"/>
      <c r="H31" s="635" t="s">
        <v>861</v>
      </c>
      <c r="I31" s="635"/>
      <c r="J31" s="636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7">
    <mergeCell ref="D31:F31"/>
    <mergeCell ref="H31:J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"Торготерм"АД</v>
      </c>
      <c r="C5" s="611"/>
      <c r="D5" s="587"/>
      <c r="E5" s="353" t="s">
        <v>2</v>
      </c>
      <c r="F5" s="590">
        <f>'справка №1-БАЛАНС'!H3</f>
        <v>819363984</v>
      </c>
    </row>
    <row r="6" spans="1:13" ht="15" customHeight="1">
      <c r="A6" s="54" t="s">
        <v>820</v>
      </c>
      <c r="B6" s="606" t="str">
        <f>'справка №1-БАЛАНС'!E5</f>
        <v>01.01.2010 г.-31.12.2010 г.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866</v>
      </c>
      <c r="B151" s="561"/>
      <c r="C151" s="639" t="s">
        <v>858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865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D88" sqref="D8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3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г.-31.12.2010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874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1437</v>
      </c>
      <c r="D28" s="153">
        <v>1437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1437</v>
      </c>
      <c r="D43" s="149">
        <f>D24+D28+D29+D31+D30+D32+D33+D38</f>
        <v>1437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1437</v>
      </c>
      <c r="D44" s="148">
        <f>D43+D21+D19+D9</f>
        <v>1437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877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7</v>
      </c>
      <c r="D85" s="149">
        <f>SUM(D86:D90)+D94</f>
        <v>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7</v>
      </c>
      <c r="D87" s="153">
        <v>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7</v>
      </c>
      <c r="D96" s="149">
        <f>D85+D80+D75+D71+D95</f>
        <v>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7</v>
      </c>
      <c r="D97" s="149">
        <f>D96+D68+D66</f>
        <v>7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860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859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2011-03-28T06:46:23Z</cp:lastPrinted>
  <dcterms:created xsi:type="dcterms:W3CDTF">2000-06-29T12:02:40Z</dcterms:created>
  <dcterms:modified xsi:type="dcterms:W3CDTF">2011-03-28T12:01:25Z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