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<sst xmlns="http://schemas.openxmlformats.org/spreadsheetml/2006/main" count="1051" uniqueCount="868">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</sst>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7\Quarterly%20reporting\Q4\Lead%20schedules%20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06\KFN\Q4\Annual%20Statements\GFO_KFN_12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1"/>
      <sheetName val="602"/>
      <sheetName val="TB before DT draft"/>
      <sheetName val="BS 04 NAS EY"/>
      <sheetName val="IS 04 NAS"/>
      <sheetName val="Cash"/>
      <sheetName val="Adjustments"/>
      <sheetName val="TFA"/>
      <sheetName val="IFA"/>
      <sheetName val="Def Exp"/>
      <sheetName val="Loans"/>
      <sheetName val="Related party Receivables"/>
      <sheetName val="Trade receivables"/>
      <sheetName val="Other recevables"/>
      <sheetName val="Equity"/>
      <sheetName val="Funding"/>
      <sheetName val="LT creditors"/>
      <sheetName val="ST loans&amp;creditors"/>
      <sheetName val="Op exp"/>
      <sheetName val="Op income"/>
      <sheetName val="Financecost"/>
    </sheetNames>
    <sheetDataSet>
      <sheetData sheetId="5">
        <row r="14">
          <cell r="D14">
            <v>223.07000000000002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4">
        <row r="21">
          <cell r="G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4" sqref="A4:D4"/>
    </sheetView>
  </sheetViews>
  <sheetFormatPr defaultColWidth="9.00390625" defaultRowHeight="12.75"/>
  <cols>
    <col min="1" max="1" width="43.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625" style="163" customWidth="1"/>
    <col min="6" max="6" width="9.50390625" style="168" customWidth="1"/>
    <col min="7" max="7" width="12.625" style="163" customWidth="1"/>
    <col min="8" max="8" width="18.625" style="169" customWidth="1"/>
    <col min="9" max="9" width="3.50390625" style="143" customWidth="1"/>
    <col min="10" max="16384" width="9.37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5" t="s">
        <v>1</v>
      </c>
      <c r="B3" s="576"/>
      <c r="C3" s="576"/>
      <c r="D3" s="576"/>
      <c r="E3" s="452" t="s">
        <v>864</v>
      </c>
      <c r="F3" s="211" t="s">
        <v>2</v>
      </c>
      <c r="G3" s="166"/>
      <c r="H3" s="451">
        <v>121554961</v>
      </c>
    </row>
    <row r="4" spans="1:8" ht="15">
      <c r="A4" s="575" t="s">
        <v>865</v>
      </c>
      <c r="B4" s="581"/>
      <c r="C4" s="581"/>
      <c r="D4" s="581"/>
      <c r="E4" s="494" t="s">
        <v>866</v>
      </c>
      <c r="F4" s="577" t="s">
        <v>3</v>
      </c>
      <c r="G4" s="578"/>
      <c r="H4" s="451" t="s">
        <v>158</v>
      </c>
    </row>
    <row r="5" spans="1:8" ht="15">
      <c r="A5" s="575" t="s">
        <v>4</v>
      </c>
      <c r="B5" s="576"/>
      <c r="C5" s="576"/>
      <c r="D5" s="576"/>
      <c r="E5" s="495">
        <v>40178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25.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25000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23</v>
      </c>
      <c r="D13" s="145">
        <v>101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>
        <v>1</v>
      </c>
      <c r="D15" s="145">
        <v>9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209</v>
      </c>
      <c r="D16" s="145">
        <v>254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25000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233</v>
      </c>
      <c r="D19" s="149">
        <f>SUM(D11:D18)</f>
        <v>364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628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628</v>
      </c>
    </row>
    <row r="23" spans="1:13" ht="15">
      <c r="A23" s="229" t="s">
        <v>65</v>
      </c>
      <c r="B23" s="235" t="s">
        <v>66</v>
      </c>
      <c r="C23" s="145">
        <v>301</v>
      </c>
      <c r="D23" s="145">
        <v>13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131</v>
      </c>
      <c r="D24" s="145">
        <v>130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628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105</v>
      </c>
      <c r="D26" s="145">
        <v>195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537</v>
      </c>
      <c r="D27" s="149">
        <f>SUM(D23:D26)</f>
        <v>338</v>
      </c>
      <c r="E27" s="247" t="s">
        <v>82</v>
      </c>
      <c r="F27" s="236" t="s">
        <v>83</v>
      </c>
      <c r="G27" s="148">
        <f>SUM(G28:G30)</f>
        <v>161</v>
      </c>
      <c r="H27" s="148">
        <f>SUM(H28:H30)</f>
        <v>161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>
        <v>161</v>
      </c>
      <c r="H28" s="146">
        <v>161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/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f>+'справка №2-ОТЧЕТ ЗА ДОХОДИТЕ'!C41</f>
        <v>0</v>
      </c>
      <c r="H31" s="146">
        <f>+'справка №2-ОТЧЕТ ЗА ДОХОДИТЕ'!D41</f>
        <v>912.952019999997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f>-'справка №2-ОТЧЕТ ЗА ДОХОДИТЕ'!G39</f>
        <v>-2374.7110600000015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-2213.7110600000015</v>
      </c>
      <c r="H33" s="148">
        <f>H27+H31+H32</f>
        <v>1073.952019999997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24327.28894</v>
      </c>
      <c r="H36" s="148">
        <f>H25+H17+H33</f>
        <v>26701.952019999997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12597</v>
      </c>
      <c r="H43" s="146">
        <v>23645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44720</v>
      </c>
      <c r="H44" s="146">
        <v>50888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26709</v>
      </c>
      <c r="H47" s="146">
        <v>26770</v>
      </c>
      <c r="M47" s="151"/>
    </row>
    <row r="48" spans="1:8" ht="15">
      <c r="A48" s="229" t="s">
        <v>146</v>
      </c>
      <c r="B48" s="238" t="s">
        <v>147</v>
      </c>
      <c r="C48" s="145">
        <v>18802</v>
      </c>
      <c r="D48" s="145">
        <v>24087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84026</v>
      </c>
      <c r="H49" s="148">
        <f>SUM(H43:H48)</f>
        <v>101303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27">
      <c r="A51" s="229" t="s">
        <v>154</v>
      </c>
      <c r="B51" s="243" t="s">
        <v>155</v>
      </c>
      <c r="C51" s="149">
        <f>SUM(C47:C50)</f>
        <v>18802</v>
      </c>
      <c r="D51" s="149">
        <f>SUM(D47:D50)</f>
        <v>24087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f>907+67</f>
        <v>974</v>
      </c>
      <c r="D53" s="145">
        <v>790</v>
      </c>
      <c r="E53" s="231" t="s">
        <v>163</v>
      </c>
      <c r="F53" s="239" t="s">
        <v>164</v>
      </c>
      <c r="G53" s="146"/>
      <c r="H53" s="146"/>
    </row>
    <row r="54" spans="1:8" ht="27">
      <c r="A54" s="229" t="s">
        <v>165</v>
      </c>
      <c r="B54" s="243" t="s">
        <v>166</v>
      </c>
      <c r="C54" s="145">
        <v>310</v>
      </c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20856</v>
      </c>
      <c r="D55" s="149">
        <f>D19+D20+D21+D27+D32+D45+D51+D53+D54</f>
        <v>25579</v>
      </c>
      <c r="E55" s="231" t="s">
        <v>171</v>
      </c>
      <c r="F55" s="255" t="s">
        <v>172</v>
      </c>
      <c r="G55" s="148">
        <f>G49+G51+G52+G53+G54</f>
        <v>84026</v>
      </c>
      <c r="H55" s="148">
        <f>H49+H51+H52+H53+H54</f>
        <v>101303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25.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34927</v>
      </c>
      <c r="H59" s="146">
        <v>28195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103</v>
      </c>
      <c r="H60" s="146">
        <v>13705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6129</v>
      </c>
      <c r="H61" s="148">
        <f>SUM(H62:H68)</f>
        <v>6569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f>4017+303</f>
        <v>4320</v>
      </c>
      <c r="H62" s="146">
        <v>4904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599</v>
      </c>
      <c r="H64" s="146">
        <v>432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/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889</v>
      </c>
      <c r="H66" s="146">
        <v>886</v>
      </c>
    </row>
    <row r="67" spans="1:8" ht="15">
      <c r="A67" s="229" t="s">
        <v>206</v>
      </c>
      <c r="B67" s="235" t="s">
        <v>207</v>
      </c>
      <c r="C67" s="145">
        <v>184</v>
      </c>
      <c r="D67" s="145">
        <f>186+197</f>
        <v>383</v>
      </c>
      <c r="E67" s="231" t="s">
        <v>208</v>
      </c>
      <c r="F67" s="236" t="s">
        <v>209</v>
      </c>
      <c r="G67" s="146">
        <v>229</v>
      </c>
      <c r="H67" s="146">
        <v>250</v>
      </c>
    </row>
    <row r="68" spans="1:8" ht="15">
      <c r="A68" s="229" t="s">
        <v>210</v>
      </c>
      <c r="B68" s="235" t="s">
        <v>211</v>
      </c>
      <c r="C68" s="145">
        <v>191</v>
      </c>
      <c r="D68" s="145">
        <v>1426</v>
      </c>
      <c r="E68" s="231" t="s">
        <v>212</v>
      </c>
      <c r="F68" s="236" t="s">
        <v>213</v>
      </c>
      <c r="G68" s="146">
        <v>92</v>
      </c>
      <c r="H68" s="146">
        <v>97</v>
      </c>
    </row>
    <row r="69" spans="1:8" ht="15">
      <c r="A69" s="229" t="s">
        <v>214</v>
      </c>
      <c r="B69" s="235" t="s">
        <v>215</v>
      </c>
      <c r="C69" s="145">
        <v>6536</v>
      </c>
      <c r="D69" s="145">
        <v>888</v>
      </c>
      <c r="E69" s="245" t="s">
        <v>77</v>
      </c>
      <c r="F69" s="236" t="s">
        <v>216</v>
      </c>
      <c r="G69" s="146">
        <v>9</v>
      </c>
      <c r="H69" s="146">
        <v>1</v>
      </c>
    </row>
    <row r="70" spans="1:8" ht="25.5">
      <c r="A70" s="229" t="s">
        <v>217</v>
      </c>
      <c r="B70" s="235" t="s">
        <v>218</v>
      </c>
      <c r="C70" s="145">
        <v>97041</v>
      </c>
      <c r="D70" s="145">
        <f>135320-197</f>
        <v>135123</v>
      </c>
      <c r="E70" s="231" t="s">
        <v>219</v>
      </c>
      <c r="F70" s="236" t="s">
        <v>220</v>
      </c>
      <c r="G70" s="146"/>
      <c r="H70" s="146"/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41168</v>
      </c>
      <c r="H71" s="155">
        <f>H59+H60+H61+H69+H70</f>
        <v>48470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>
        <v>138</v>
      </c>
      <c r="D72" s="145">
        <v>143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7</v>
      </c>
      <c r="D73" s="145"/>
      <c r="E73" s="157"/>
      <c r="F73" s="271"/>
      <c r="G73" s="272"/>
      <c r="H73" s="273"/>
    </row>
    <row r="74" spans="1:8" ht="27">
      <c r="A74" s="229" t="s">
        <v>228</v>
      </c>
      <c r="B74" s="235" t="s">
        <v>229</v>
      </c>
      <c r="C74" s="145">
        <v>2761</v>
      </c>
      <c r="D74" s="145">
        <f>1163+48-143</f>
        <v>1068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106858</v>
      </c>
      <c r="D75" s="149">
        <f>SUM(D67:D74)</f>
        <v>139031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27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25.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41168</v>
      </c>
      <c r="H79" s="156">
        <f>H71+H74+H75+H76</f>
        <v>48470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25.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2</v>
      </c>
      <c r="D87" s="145">
        <f>+'[1]Cash'!$D$14/1000</f>
        <v>0.22307000000000002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f>20138+131</f>
        <v>20269</v>
      </c>
      <c r="D88" s="145">
        <v>9620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20271</v>
      </c>
      <c r="D91" s="149">
        <f>SUM(D87:D90)</f>
        <v>9620.22307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1536</v>
      </c>
      <c r="D92" s="145">
        <f>3035-790</f>
        <v>2245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128665</v>
      </c>
      <c r="D93" s="149">
        <f>D64+D75+D84+D91+D92</f>
        <v>150896.22307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26.25" thickBot="1">
      <c r="A94" s="441" t="s">
        <v>267</v>
      </c>
      <c r="B94" s="282" t="s">
        <v>268</v>
      </c>
      <c r="C94" s="158">
        <f>C93+C55</f>
        <v>149521</v>
      </c>
      <c r="D94" s="158">
        <f>D93+D55</f>
        <v>176475.22307</v>
      </c>
      <c r="E94" s="442" t="s">
        <v>269</v>
      </c>
      <c r="F94" s="283" t="s">
        <v>270</v>
      </c>
      <c r="G94" s="159">
        <f>G36+G39+G55+G79</f>
        <v>149521.28894</v>
      </c>
      <c r="H94" s="159">
        <f>H36+H39+H55+H79</f>
        <v>176474.95202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165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40205</v>
      </c>
      <c r="B98" s="426"/>
      <c r="C98" s="579" t="s">
        <v>272</v>
      </c>
      <c r="D98" s="579"/>
      <c r="E98" s="579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79" t="s">
        <v>855</v>
      </c>
      <c r="D103" s="580"/>
      <c r="E103" s="580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38" sqref="C38"/>
    </sheetView>
  </sheetViews>
  <sheetFormatPr defaultColWidth="9.00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625" style="533" customWidth="1"/>
    <col min="5" max="5" width="37.375" style="556" customWidth="1"/>
    <col min="6" max="6" width="9.00390625" style="556" customWidth="1"/>
    <col min="7" max="7" width="11.625" style="533" customWidth="1"/>
    <col min="8" max="8" width="13.125" style="533" customWidth="1"/>
    <col min="9" max="16384" width="9.37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4" t="str">
        <f>'справка №1-БАЛАНС'!E3</f>
        <v>Ти Би Ай Кредит ЕАД</v>
      </c>
      <c r="C2" s="584"/>
      <c r="D2" s="584"/>
      <c r="E2" s="584"/>
      <c r="F2" s="586" t="s">
        <v>2</v>
      </c>
      <c r="G2" s="586"/>
      <c r="H2" s="514">
        <f>'справка №1-БАЛАНС'!H3</f>
        <v>121554961</v>
      </c>
    </row>
    <row r="3" spans="1:8" ht="15">
      <c r="A3" s="457" t="s">
        <v>274</v>
      </c>
      <c r="B3" s="584" t="str">
        <f>'справка №1-БАЛАНС'!E4</f>
        <v>Неконсолидиран</v>
      </c>
      <c r="C3" s="584"/>
      <c r="D3" s="584"/>
      <c r="E3" s="584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5">
        <f>'справка №1-БАЛАНС'!E5</f>
        <v>40178</v>
      </c>
      <c r="C4" s="585"/>
      <c r="D4" s="585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468.57807</v>
      </c>
      <c r="D9" s="40">
        <v>1091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8229.4105</v>
      </c>
      <c r="D10" s="40">
        <v>12895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327.05575</v>
      </c>
      <c r="D11" s="40">
        <v>418.73381</v>
      </c>
      <c r="E11" s="294" t="s">
        <v>292</v>
      </c>
      <c r="F11" s="537" t="s">
        <v>293</v>
      </c>
      <c r="G11" s="538">
        <v>21154</v>
      </c>
      <c r="H11" s="538">
        <v>22358</v>
      </c>
    </row>
    <row r="12" spans="1:8" ht="12">
      <c r="A12" s="292" t="s">
        <v>294</v>
      </c>
      <c r="B12" s="293" t="s">
        <v>295</v>
      </c>
      <c r="C12" s="40">
        <v>7439.8874000000005</v>
      </c>
      <c r="D12" s="40">
        <v>8623</v>
      </c>
      <c r="E12" s="294" t="s">
        <v>77</v>
      </c>
      <c r="F12" s="537" t="s">
        <v>296</v>
      </c>
      <c r="G12" s="538">
        <v>95</v>
      </c>
      <c r="H12" s="538">
        <v>934</v>
      </c>
    </row>
    <row r="13" spans="1:18" ht="12">
      <c r="A13" s="292" t="s">
        <v>297</v>
      </c>
      <c r="B13" s="293" t="s">
        <v>298</v>
      </c>
      <c r="C13" s="40">
        <v>1417.77934</v>
      </c>
      <c r="D13" s="40">
        <v>1730.95517</v>
      </c>
      <c r="E13" s="295" t="s">
        <v>50</v>
      </c>
      <c r="F13" s="539" t="s">
        <v>299</v>
      </c>
      <c r="G13" s="536">
        <f>SUM(G9:G12)</f>
        <v>21249</v>
      </c>
      <c r="H13" s="536">
        <f>SUM(H9:H12)</f>
        <v>23292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24">
      <c r="A14" s="292" t="s">
        <v>300</v>
      </c>
      <c r="B14" s="293" t="s">
        <v>301</v>
      </c>
      <c r="C14" s="40"/>
      <c r="D14" s="40">
        <v>0.359</v>
      </c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14128</v>
      </c>
      <c r="D16" s="41">
        <v>4552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f>13023+28</f>
        <v>13051</v>
      </c>
      <c r="D17" s="42">
        <v>2992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</v>
      </c>
      <c r="D18" s="42">
        <v>10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32010.71106</v>
      </c>
      <c r="D19" s="43">
        <f>SUM(D9:D15)+D16</f>
        <v>29311.04798</v>
      </c>
      <c r="E19" s="298" t="s">
        <v>316</v>
      </c>
      <c r="F19" s="540" t="s">
        <v>317</v>
      </c>
      <c r="G19" s="538">
        <f>19249+131</f>
        <v>19380</v>
      </c>
      <c r="H19" s="538">
        <v>18732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>
        <v>104</v>
      </c>
      <c r="H21" s="538"/>
    </row>
    <row r="22" spans="1:8" ht="24">
      <c r="A22" s="298" t="s">
        <v>323</v>
      </c>
      <c r="B22" s="299" t="s">
        <v>324</v>
      </c>
      <c r="C22" s="40">
        <v>10259</v>
      </c>
      <c r="D22" s="40">
        <v>10812</v>
      </c>
      <c r="E22" s="298" t="s">
        <v>325</v>
      </c>
      <c r="F22" s="540" t="s">
        <v>326</v>
      </c>
      <c r="G22" s="538">
        <v>0</v>
      </c>
      <c r="H22" s="538">
        <v>10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>
        <v>22</v>
      </c>
    </row>
    <row r="24" spans="1:18" ht="24">
      <c r="A24" s="292" t="s">
        <v>331</v>
      </c>
      <c r="B24" s="299" t="s">
        <v>332</v>
      </c>
      <c r="C24" s="40">
        <v>16</v>
      </c>
      <c r="D24" s="40">
        <v>14</v>
      </c>
      <c r="E24" s="295" t="s">
        <v>102</v>
      </c>
      <c r="F24" s="542" t="s">
        <v>333</v>
      </c>
      <c r="G24" s="536">
        <f>SUM(G19:G23)</f>
        <v>19484</v>
      </c>
      <c r="H24" s="536">
        <f>SUM(H19:H23)</f>
        <v>18764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1083</v>
      </c>
      <c r="D25" s="40">
        <v>967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11358</v>
      </c>
      <c r="D26" s="43">
        <f>SUM(D22:D25)</f>
        <v>11793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24">
      <c r="A28" s="121" t="s">
        <v>336</v>
      </c>
      <c r="B28" s="287" t="s">
        <v>337</v>
      </c>
      <c r="C28" s="44">
        <f>C26+C19</f>
        <v>43368.71106</v>
      </c>
      <c r="D28" s="44">
        <f>D26+D19</f>
        <v>41104.04798</v>
      </c>
      <c r="E28" s="121" t="s">
        <v>338</v>
      </c>
      <c r="F28" s="542" t="s">
        <v>339</v>
      </c>
      <c r="G28" s="536">
        <f>G13+G15+G24</f>
        <v>40733</v>
      </c>
      <c r="H28" s="536">
        <f>H13+H15+H24</f>
        <v>42056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951.952019999997</v>
      </c>
      <c r="E30" s="121" t="s">
        <v>342</v>
      </c>
      <c r="F30" s="542" t="s">
        <v>343</v>
      </c>
      <c r="G30" s="47">
        <f>IF((C28-G28)&gt;0,C28-G28,0)</f>
        <v>2635.7110600000015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43368.71106</v>
      </c>
      <c r="D33" s="43">
        <f>D28+D31+D32</f>
        <v>41104.04798</v>
      </c>
      <c r="E33" s="121" t="s">
        <v>352</v>
      </c>
      <c r="F33" s="542" t="s">
        <v>353</v>
      </c>
      <c r="G33" s="47">
        <f>G32+G31+G28</f>
        <v>40733</v>
      </c>
      <c r="H33" s="47">
        <f>H32+H31+H28</f>
        <v>42056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951.952019999997</v>
      </c>
      <c r="E34" s="122" t="s">
        <v>356</v>
      </c>
      <c r="F34" s="542" t="s">
        <v>357</v>
      </c>
      <c r="G34" s="536">
        <f>IF((C33-G33)&gt;0,C33-G33,0)</f>
        <v>2635.7110600000015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-261</v>
      </c>
      <c r="D35" s="43">
        <f>D36+D37+D38</f>
        <v>39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24">
      <c r="A36" s="303" t="s">
        <v>360</v>
      </c>
      <c r="B36" s="299" t="s">
        <v>361</v>
      </c>
      <c r="C36" s="40"/>
      <c r="D36" s="40">
        <v>57</v>
      </c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-261</v>
      </c>
      <c r="D37" s="424">
        <v>-18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24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912.952019999997</v>
      </c>
      <c r="E39" s="307" t="s">
        <v>368</v>
      </c>
      <c r="F39" s="546" t="s">
        <v>369</v>
      </c>
      <c r="G39" s="547">
        <f>IF(G34&gt;0,IF(C35+G34&lt;0,0,C35+G34),IF(C34-C35&lt;0,C35-C34,0))</f>
        <v>2374.7110600000015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912.952019999997</v>
      </c>
      <c r="E41" s="121" t="s">
        <v>375</v>
      </c>
      <c r="F41" s="559" t="s">
        <v>376</v>
      </c>
      <c r="G41" s="46">
        <f>IF(C39=0,IF(G39-G40&gt;0,G39-G40+C40,0),IF(C39-C40&lt;0,C40-C39+G40,0))</f>
        <v>2374.7110600000015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43107.71106</v>
      </c>
      <c r="D42" s="47">
        <f>D33+D35+D39</f>
        <v>42056</v>
      </c>
      <c r="E42" s="122" t="s">
        <v>379</v>
      </c>
      <c r="F42" s="123" t="s">
        <v>380</v>
      </c>
      <c r="G42" s="47">
        <f>G39+G33</f>
        <v>43107.71106</v>
      </c>
      <c r="H42" s="47">
        <f>H39+H33</f>
        <v>42056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87" t="s">
        <v>861</v>
      </c>
      <c r="B45" s="587"/>
      <c r="C45" s="587"/>
      <c r="D45" s="587"/>
      <c r="E45" s="587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40205</v>
      </c>
      <c r="C48" s="421" t="s">
        <v>381</v>
      </c>
      <c r="D48" s="582"/>
      <c r="E48" s="582"/>
      <c r="F48" s="582"/>
      <c r="G48" s="582"/>
      <c r="H48" s="582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3"/>
      <c r="E50" s="583"/>
      <c r="F50" s="583"/>
      <c r="G50" s="583"/>
      <c r="H50" s="583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24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375" style="531" customWidth="1"/>
    <col min="5" max="5" width="10.125" style="125" customWidth="1"/>
    <col min="6" max="6" width="12.00390625" style="125" customWidth="1"/>
    <col min="7" max="16384" width="9.37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40178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1332</v>
      </c>
      <c r="D10" s="48">
        <v>165</v>
      </c>
      <c r="E10" s="124"/>
      <c r="F10" s="124"/>
    </row>
    <row r="11" spans="1:13" ht="12">
      <c r="A11" s="326" t="s">
        <v>388</v>
      </c>
      <c r="B11" s="327" t="s">
        <v>389</v>
      </c>
      <c r="C11" s="48"/>
      <c r="D11" s="48"/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24">
      <c r="A12" s="326" t="s">
        <v>390</v>
      </c>
      <c r="B12" s="327" t="s">
        <v>391</v>
      </c>
      <c r="C12" s="48">
        <v>39245</v>
      </c>
      <c r="D12" s="48">
        <v>-45270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-8387</v>
      </c>
      <c r="D13" s="48">
        <v>-10129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-114</v>
      </c>
      <c r="D14" s="48">
        <v>980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f>27186+131</f>
        <v>27317</v>
      </c>
      <c r="D16" s="48">
        <v>40775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24">
      <c r="A17" s="326" t="s">
        <v>400</v>
      </c>
      <c r="B17" s="327" t="s">
        <v>401</v>
      </c>
      <c r="C17" s="48">
        <v>-961</v>
      </c>
      <c r="D17" s="48">
        <v>-923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-12</v>
      </c>
      <c r="D18" s="48">
        <v>-14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-13081</v>
      </c>
      <c r="D19" s="48">
        <v>-11340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45339</v>
      </c>
      <c r="D20" s="49">
        <f>SUM(D10:D19)</f>
        <v>-25756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-266</v>
      </c>
      <c r="D22" s="48">
        <v>-384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>
        <v>7</v>
      </c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>
        <v>8842</v>
      </c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-266</v>
      </c>
      <c r="D32" s="49">
        <f>SUM(D22:D31)</f>
        <v>8465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>
        <v>5160</v>
      </c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-6852</v>
      </c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26185</v>
      </c>
      <c r="D36" s="48">
        <v>124957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-49295</v>
      </c>
      <c r="D37" s="48">
        <v>-87182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-9620</v>
      </c>
      <c r="D39" s="48">
        <v>-11470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>
        <v>-401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-34422</v>
      </c>
      <c r="D42" s="49">
        <f>SUM(D34:D41)</f>
        <v>25904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10651</v>
      </c>
      <c r="D43" s="49">
        <f>D42+D32+D20</f>
        <v>8613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+D45</f>
        <v>9620</v>
      </c>
      <c r="D44" s="126">
        <v>1007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20271</v>
      </c>
      <c r="D45" s="49">
        <f>D44+D43</f>
        <v>9620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/>
      <c r="D46" s="50">
        <v>9620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>
        <f>+'справка №1-БАЛАНС'!C89</f>
        <v>0</v>
      </c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40205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88"/>
      <c r="D50" s="589"/>
      <c r="G50" s="127"/>
      <c r="H50" s="127"/>
    </row>
    <row r="51" spans="1:8" ht="12">
      <c r="A51" s="312"/>
      <c r="B51" s="312"/>
      <c r="C51" s="313"/>
      <c r="D51" s="313"/>
      <c r="G51" s="127"/>
      <c r="H51" s="127"/>
    </row>
    <row r="52" spans="1:8" ht="12">
      <c r="A52" s="312"/>
      <c r="B52" s="429" t="s">
        <v>781</v>
      </c>
      <c r="C52" s="589"/>
      <c r="D52" s="589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48.50390625" style="527" customWidth="1"/>
    <col min="2" max="2" width="8.375" style="52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0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2" t="str">
        <f>'справка №1-БАЛАНС'!E3</f>
        <v>Ти Би Ай Кредит ЕАД</v>
      </c>
      <c r="C3" s="592"/>
      <c r="D3" s="592"/>
      <c r="E3" s="592"/>
      <c r="F3" s="592"/>
      <c r="G3" s="592"/>
      <c r="H3" s="592"/>
      <c r="I3" s="592"/>
      <c r="J3" s="466"/>
      <c r="K3" s="594" t="s">
        <v>2</v>
      </c>
      <c r="L3" s="594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0"/>
      <c r="K4" s="595" t="s">
        <v>3</v>
      </c>
      <c r="L4" s="595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6">
        <f>'справка №1-БАЛАНС'!E5</f>
        <v>40178</v>
      </c>
      <c r="C5" s="596"/>
      <c r="D5" s="596"/>
      <c r="E5" s="596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25000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628</v>
      </c>
      <c r="G11" s="52">
        <f>'справка №1-БАЛАНС'!H23</f>
        <v>0</v>
      </c>
      <c r="H11" s="54"/>
      <c r="I11" s="52">
        <f>'справка №1-БАЛАНС'!H28+'справка №1-БАЛАНС'!H31</f>
        <v>1073.952019999997</v>
      </c>
      <c r="J11" s="52">
        <f>'справка №1-БАЛАНС'!H29+'справка №1-БАЛАНС'!H32</f>
        <v>0</v>
      </c>
      <c r="K11" s="54"/>
      <c r="L11" s="338">
        <f>SUM(C11:K11)</f>
        <v>26701.952019999997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25000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628</v>
      </c>
      <c r="G15" s="55">
        <f t="shared" si="2"/>
        <v>0</v>
      </c>
      <c r="H15" s="55">
        <f t="shared" si="2"/>
        <v>0</v>
      </c>
      <c r="I15" s="55">
        <f t="shared" si="2"/>
        <v>1073.952019999997</v>
      </c>
      <c r="J15" s="55">
        <f t="shared" si="2"/>
        <v>0</v>
      </c>
      <c r="K15" s="55">
        <f t="shared" si="2"/>
        <v>0</v>
      </c>
      <c r="L15" s="338">
        <f t="shared" si="1"/>
        <v>26701.952019999997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-2374.7110600000015</v>
      </c>
      <c r="K16" s="54"/>
      <c r="L16" s="338">
        <f t="shared" si="1"/>
        <v>-2374.7110600000015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800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113</v>
      </c>
      <c r="G17" s="56">
        <f t="shared" si="3"/>
        <v>0</v>
      </c>
      <c r="H17" s="56">
        <f t="shared" si="3"/>
        <v>0</v>
      </c>
      <c r="I17" s="56">
        <f t="shared" si="3"/>
        <v>-913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>
        <v>800</v>
      </c>
      <c r="D19" s="54"/>
      <c r="E19" s="54"/>
      <c r="F19" s="54">
        <v>113</v>
      </c>
      <c r="G19" s="54"/>
      <c r="H19" s="54"/>
      <c r="I19" s="54">
        <v>-913</v>
      </c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160.952019999997</v>
      </c>
      <c r="J29" s="53">
        <f t="shared" si="6"/>
        <v>-2374.7110600000015</v>
      </c>
      <c r="K29" s="53">
        <f t="shared" si="6"/>
        <v>0</v>
      </c>
      <c r="L29" s="338">
        <f t="shared" si="1"/>
        <v>24327.240959999996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160.952019999997</v>
      </c>
      <c r="J32" s="53">
        <f t="shared" si="7"/>
        <v>-2374.7110600000015</v>
      </c>
      <c r="K32" s="53">
        <f t="shared" si="7"/>
        <v>0</v>
      </c>
      <c r="L32" s="338">
        <f t="shared" si="1"/>
        <v>24327.240959999996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40205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58" sqref="A58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2" t="s">
        <v>383</v>
      </c>
      <c r="B2" s="603"/>
      <c r="C2" s="604" t="str">
        <f>'справка №1-БАЛАНС'!E3</f>
        <v>Ти Би Ай Кредит ЕАД</v>
      </c>
      <c r="D2" s="604"/>
      <c r="E2" s="604"/>
      <c r="F2" s="604"/>
      <c r="G2" s="604"/>
      <c r="H2" s="604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2" t="s">
        <v>4</v>
      </c>
      <c r="B3" s="603"/>
      <c r="C3" s="605">
        <f>'справка №1-БАЛАНС'!E5</f>
        <v>40178</v>
      </c>
      <c r="D3" s="605"/>
      <c r="E3" s="605"/>
      <c r="F3" s="475"/>
      <c r="G3" s="475"/>
      <c r="H3" s="475"/>
      <c r="I3" s="475"/>
      <c r="J3" s="475"/>
      <c r="K3" s="475"/>
      <c r="L3" s="475"/>
      <c r="M3" s="606" t="s">
        <v>3</v>
      </c>
      <c r="N3" s="606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7" t="s">
        <v>463</v>
      </c>
      <c r="B5" s="608"/>
      <c r="C5" s="611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0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0" t="s">
        <v>529</v>
      </c>
      <c r="R5" s="600" t="s">
        <v>530</v>
      </c>
    </row>
    <row r="6" spans="1:18" s="94" customFormat="1" ht="60">
      <c r="A6" s="609"/>
      <c r="B6" s="610"/>
      <c r="C6" s="612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1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1"/>
      <c r="R6" s="601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505</v>
      </c>
      <c r="E11" s="183">
        <v>5</v>
      </c>
      <c r="F11" s="183"/>
      <c r="G11" s="68">
        <f t="shared" si="2"/>
        <v>510</v>
      </c>
      <c r="H11" s="59"/>
      <c r="I11" s="59"/>
      <c r="J11" s="68">
        <f t="shared" si="3"/>
        <v>510</v>
      </c>
      <c r="K11" s="59">
        <v>404</v>
      </c>
      <c r="L11" s="59">
        <v>83</v>
      </c>
      <c r="M11" s="59"/>
      <c r="N11" s="68">
        <f t="shared" si="4"/>
        <v>487</v>
      </c>
      <c r="O11" s="59"/>
      <c r="P11" s="59"/>
      <c r="Q11" s="68">
        <f t="shared" si="0"/>
        <v>487</v>
      </c>
      <c r="R11" s="68">
        <f t="shared" si="1"/>
        <v>23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215</v>
      </c>
      <c r="E13" s="183"/>
      <c r="F13" s="183"/>
      <c r="G13" s="68">
        <f t="shared" si="2"/>
        <v>215</v>
      </c>
      <c r="H13" s="59"/>
      <c r="I13" s="59"/>
      <c r="J13" s="68">
        <f t="shared" si="3"/>
        <v>215</v>
      </c>
      <c r="K13" s="59">
        <v>206</v>
      </c>
      <c r="L13" s="59">
        <v>8</v>
      </c>
      <c r="M13" s="59"/>
      <c r="N13" s="68">
        <f t="shared" si="4"/>
        <v>214</v>
      </c>
      <c r="O13" s="59"/>
      <c r="P13" s="59"/>
      <c r="Q13" s="68">
        <f t="shared" si="0"/>
        <v>214</v>
      </c>
      <c r="R13" s="68">
        <f t="shared" si="1"/>
        <v>1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371</v>
      </c>
      <c r="E14" s="183">
        <v>7</v>
      </c>
      <c r="F14" s="183"/>
      <c r="G14" s="68">
        <f t="shared" si="2"/>
        <v>378</v>
      </c>
      <c r="H14" s="59"/>
      <c r="I14" s="59"/>
      <c r="J14" s="68">
        <f t="shared" si="3"/>
        <v>378</v>
      </c>
      <c r="K14" s="59">
        <v>117</v>
      </c>
      <c r="L14" s="59">
        <v>52</v>
      </c>
      <c r="M14" s="59"/>
      <c r="N14" s="68">
        <f t="shared" si="4"/>
        <v>169</v>
      </c>
      <c r="O14" s="59"/>
      <c r="P14" s="59"/>
      <c r="Q14" s="68">
        <f t="shared" si="0"/>
        <v>169</v>
      </c>
      <c r="R14" s="68">
        <f t="shared" si="1"/>
        <v>209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36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1091</v>
      </c>
      <c r="E17" s="188">
        <f>SUM(E9:E16)</f>
        <v>12</v>
      </c>
      <c r="F17" s="188">
        <f>SUM(F9:F16)</f>
        <v>0</v>
      </c>
      <c r="G17" s="68">
        <f t="shared" si="2"/>
        <v>1103</v>
      </c>
      <c r="H17" s="69">
        <f>SUM(H9:H16)</f>
        <v>0</v>
      </c>
      <c r="I17" s="69">
        <f>SUM(I9:I16)</f>
        <v>0</v>
      </c>
      <c r="J17" s="68">
        <f t="shared" si="3"/>
        <v>1103</v>
      </c>
      <c r="K17" s="69">
        <f>SUM(K9:K16)</f>
        <v>727</v>
      </c>
      <c r="L17" s="69">
        <f>SUM(L9:L16)</f>
        <v>143</v>
      </c>
      <c r="M17" s="69">
        <f>SUM(M9:M16)</f>
        <v>0</v>
      </c>
      <c r="N17" s="68">
        <f t="shared" si="4"/>
        <v>870</v>
      </c>
      <c r="O17" s="69">
        <f>SUM(O9:O16)</f>
        <v>0</v>
      </c>
      <c r="P17" s="69">
        <f>SUM(P9:P16)</f>
        <v>0</v>
      </c>
      <c r="Q17" s="68">
        <f t="shared" si="5"/>
        <v>870</v>
      </c>
      <c r="R17" s="68">
        <f t="shared" si="6"/>
        <v>233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f>+'[2]справка №5'!$G$21+57</f>
        <v>87</v>
      </c>
      <c r="E21" s="183">
        <f>238</f>
        <v>238</v>
      </c>
      <c r="F21" s="183"/>
      <c r="G21" s="68">
        <f t="shared" si="2"/>
        <v>325</v>
      </c>
      <c r="H21" s="59"/>
      <c r="I21" s="59"/>
      <c r="J21" s="68">
        <f t="shared" si="3"/>
        <v>325</v>
      </c>
      <c r="K21" s="59">
        <v>17</v>
      </c>
      <c r="L21" s="59">
        <v>7</v>
      </c>
      <c r="M21" s="59"/>
      <c r="N21" s="68">
        <f t="shared" si="4"/>
        <v>24</v>
      </c>
      <c r="O21" s="59"/>
      <c r="P21" s="59"/>
      <c r="Q21" s="68">
        <f t="shared" si="5"/>
        <v>24</v>
      </c>
      <c r="R21" s="68">
        <f t="shared" si="6"/>
        <v>301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761</v>
      </c>
      <c r="E22" s="183">
        <v>145</v>
      </c>
      <c r="F22" s="183"/>
      <c r="G22" s="68">
        <f t="shared" si="2"/>
        <v>906</v>
      </c>
      <c r="H22" s="59"/>
      <c r="I22" s="59"/>
      <c r="J22" s="68">
        <f t="shared" si="3"/>
        <v>906</v>
      </c>
      <c r="K22" s="59">
        <v>631</v>
      </c>
      <c r="L22" s="59">
        <v>144</v>
      </c>
      <c r="M22" s="59"/>
      <c r="N22" s="68">
        <f t="shared" si="4"/>
        <v>775</v>
      </c>
      <c r="O22" s="59"/>
      <c r="P22" s="59"/>
      <c r="Q22" s="68">
        <f t="shared" si="5"/>
        <v>775</v>
      </c>
      <c r="R22" s="68">
        <f t="shared" si="6"/>
        <v>131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f>264-56</f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69</v>
      </c>
      <c r="L24" s="59">
        <v>34</v>
      </c>
      <c r="M24" s="59"/>
      <c r="N24" s="68">
        <f t="shared" si="4"/>
        <v>103</v>
      </c>
      <c r="O24" s="59"/>
      <c r="P24" s="59"/>
      <c r="Q24" s="68">
        <f t="shared" si="5"/>
        <v>103</v>
      </c>
      <c r="R24" s="68">
        <f t="shared" si="6"/>
        <v>105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1056</v>
      </c>
      <c r="E25" s="184">
        <f aca="true" t="shared" si="7" ref="E25:P25">SUM(E21:E24)</f>
        <v>383</v>
      </c>
      <c r="F25" s="184">
        <f t="shared" si="7"/>
        <v>0</v>
      </c>
      <c r="G25" s="61">
        <f t="shared" si="2"/>
        <v>1439</v>
      </c>
      <c r="H25" s="60">
        <f t="shared" si="7"/>
        <v>0</v>
      </c>
      <c r="I25" s="60">
        <f t="shared" si="7"/>
        <v>0</v>
      </c>
      <c r="J25" s="61">
        <f t="shared" si="3"/>
        <v>1439</v>
      </c>
      <c r="K25" s="60">
        <f t="shared" si="7"/>
        <v>717</v>
      </c>
      <c r="L25" s="60">
        <f t="shared" si="7"/>
        <v>185</v>
      </c>
      <c r="M25" s="60">
        <f t="shared" si="7"/>
        <v>0</v>
      </c>
      <c r="N25" s="61">
        <f t="shared" si="4"/>
        <v>902</v>
      </c>
      <c r="O25" s="60">
        <f t="shared" si="7"/>
        <v>0</v>
      </c>
      <c r="P25" s="60">
        <f t="shared" si="7"/>
        <v>0</v>
      </c>
      <c r="Q25" s="61">
        <f t="shared" si="5"/>
        <v>902</v>
      </c>
      <c r="R25" s="61">
        <f t="shared" si="6"/>
        <v>537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24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2147</v>
      </c>
      <c r="E40" s="431">
        <f>E17+E18+E19+E25+E38+E39</f>
        <v>395</v>
      </c>
      <c r="F40" s="431">
        <f aca="true" t="shared" si="13" ref="F40:R40">F17+F18+F19+F25+F38+F39</f>
        <v>0</v>
      </c>
      <c r="G40" s="431">
        <f t="shared" si="13"/>
        <v>2542</v>
      </c>
      <c r="H40" s="431">
        <f t="shared" si="13"/>
        <v>0</v>
      </c>
      <c r="I40" s="431">
        <f t="shared" si="13"/>
        <v>0</v>
      </c>
      <c r="J40" s="431">
        <f t="shared" si="13"/>
        <v>2542</v>
      </c>
      <c r="K40" s="431">
        <f t="shared" si="13"/>
        <v>1444</v>
      </c>
      <c r="L40" s="431">
        <f t="shared" si="13"/>
        <v>328</v>
      </c>
      <c r="M40" s="431">
        <f t="shared" si="13"/>
        <v>0</v>
      </c>
      <c r="N40" s="431">
        <f t="shared" si="13"/>
        <v>1772</v>
      </c>
      <c r="O40" s="431">
        <f t="shared" si="13"/>
        <v>0</v>
      </c>
      <c r="P40" s="431">
        <f t="shared" si="13"/>
        <v>0</v>
      </c>
      <c r="Q40" s="431">
        <f t="shared" si="13"/>
        <v>1772</v>
      </c>
      <c r="R40" s="431">
        <f t="shared" si="13"/>
        <v>770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40205</v>
      </c>
      <c r="C44" s="348"/>
      <c r="D44" s="349"/>
      <c r="E44" s="349"/>
      <c r="F44" s="349"/>
      <c r="G44" s="345"/>
      <c r="H44" s="350" t="s">
        <v>608</v>
      </c>
      <c r="I44" s="350"/>
      <c r="J44" s="350"/>
      <c r="K44" s="597"/>
      <c r="L44" s="597"/>
      <c r="M44" s="597"/>
      <c r="N44" s="597"/>
      <c r="O44" s="598" t="s">
        <v>781</v>
      </c>
      <c r="P44" s="599"/>
      <c r="Q44" s="599"/>
      <c r="R44" s="599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73" sqref="C73"/>
    </sheetView>
  </sheetViews>
  <sheetFormatPr defaultColWidth="10.625" defaultRowHeight="12.75"/>
  <cols>
    <col min="1" max="1" width="39.125" style="22" customWidth="1"/>
    <col min="2" max="2" width="10.50390625" style="96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0" t="str">
        <f>'справка №1-БАЛАНС'!E3</f>
        <v>Ти Би Ай Кредит ЕАД</v>
      </c>
      <c r="C3" s="621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7">
        <f>'справка №1-БАЛАНС'!E5</f>
        <v>40178</v>
      </c>
      <c r="C4" s="618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24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24">
      <c r="A10" s="387" t="s">
        <v>618</v>
      </c>
      <c r="B10" s="389"/>
      <c r="C10" s="98"/>
      <c r="D10" s="98"/>
      <c r="E10" s="114"/>
      <c r="F10" s="100"/>
    </row>
    <row r="11" spans="1:15" ht="24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24">
      <c r="A15" s="390" t="s">
        <v>627</v>
      </c>
      <c r="B15" s="391" t="s">
        <v>628</v>
      </c>
      <c r="C15" s="102">
        <f>+'справка №1-БАЛАНС'!C48</f>
        <v>18802</v>
      </c>
      <c r="D15" s="102"/>
      <c r="E15" s="114">
        <f t="shared" si="0"/>
        <v>18802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18802</v>
      </c>
      <c r="D19" s="98">
        <f>D11+D15+D16</f>
        <v>0</v>
      </c>
      <c r="E19" s="112">
        <f>E11+E15+E16</f>
        <v>18802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/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24">
      <c r="A23" s="387" t="s">
        <v>639</v>
      </c>
      <c r="B23" s="393"/>
      <c r="C23" s="113"/>
      <c r="D23" s="98"/>
      <c r="E23" s="114"/>
      <c r="F23" s="100"/>
    </row>
    <row r="24" spans="1:15" ht="24">
      <c r="A24" s="390" t="s">
        <v>640</v>
      </c>
      <c r="B24" s="391" t="s">
        <v>641</v>
      </c>
      <c r="C24" s="113">
        <f>SUM(C25:C27)</f>
        <v>184</v>
      </c>
      <c r="D24" s="113">
        <f>SUM(D25:D27)</f>
        <v>184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/>
      <c r="D25" s="102">
        <f aca="true" t="shared" si="1" ref="D25:D30">C25</f>
        <v>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184</v>
      </c>
      <c r="D26" s="102">
        <f t="shared" si="1"/>
        <v>184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191</v>
      </c>
      <c r="D28" s="102">
        <f t="shared" si="1"/>
        <v>191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6536</v>
      </c>
      <c r="D29" s="102">
        <f t="shared" si="1"/>
        <v>6536</v>
      </c>
      <c r="E29" s="114">
        <f t="shared" si="0"/>
        <v>0</v>
      </c>
      <c r="F29" s="100"/>
    </row>
    <row r="30" spans="1:6" ht="24">
      <c r="A30" s="390" t="s">
        <v>652</v>
      </c>
      <c r="B30" s="391" t="s">
        <v>653</v>
      </c>
      <c r="C30" s="102">
        <f>+'справка №1-БАЛАНС'!C70</f>
        <v>97041</v>
      </c>
      <c r="D30" s="102">
        <f t="shared" si="1"/>
        <v>97041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138</v>
      </c>
      <c r="D33" s="99">
        <f>SUM(D34:D37)</f>
        <v>138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>
        <f>+'справка №1-БАЛАНС'!C72</f>
        <v>138</v>
      </c>
      <c r="D34" s="102">
        <f>C34</f>
        <v>138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2761</v>
      </c>
      <c r="D38" s="99">
        <f>SUM(D39:D42)</f>
        <v>2761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>
        <v>15</v>
      </c>
      <c r="D40" s="102">
        <f>C40</f>
        <v>15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v>2746</v>
      </c>
      <c r="D42" s="102">
        <f>C42</f>
        <v>2746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106851</v>
      </c>
      <c r="D43" s="98">
        <f>D24+D28+D29+D31+D30+D32+D33+D38</f>
        <v>106851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125653</v>
      </c>
      <c r="D44" s="97">
        <f>D43+D21+D19+D9</f>
        <v>106851</v>
      </c>
      <c r="E44" s="112">
        <f>E43+E21+E19+E9</f>
        <v>18802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24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12597</v>
      </c>
      <c r="D52" s="97">
        <f>SUM(D53:D55)</f>
        <v>0</v>
      </c>
      <c r="E52" s="113">
        <f>C52-D52</f>
        <v>12597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12597</v>
      </c>
      <c r="D53" s="102">
        <v>0</v>
      </c>
      <c r="E53" s="113">
        <f>C53-D53</f>
        <v>12597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36">
      <c r="A56" s="390" t="s">
        <v>694</v>
      </c>
      <c r="B56" s="391" t="s">
        <v>695</v>
      </c>
      <c r="C56" s="97">
        <f>C57+C59</f>
        <v>44720</v>
      </c>
      <c r="D56" s="97">
        <f>D57+D59</f>
        <v>0</v>
      </c>
      <c r="E56" s="113">
        <f t="shared" si="2"/>
        <v>44720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44720</v>
      </c>
      <c r="D57" s="102">
        <v>0</v>
      </c>
      <c r="E57" s="113">
        <f t="shared" si="2"/>
        <v>44720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24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24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26709</v>
      </c>
      <c r="D63" s="102"/>
      <c r="E63" s="113">
        <f t="shared" si="2"/>
        <v>26709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84026</v>
      </c>
      <c r="D66" s="97">
        <f>D52+D56+D61+D62+D63+D64</f>
        <v>0</v>
      </c>
      <c r="E66" s="113">
        <f t="shared" si="2"/>
        <v>84026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24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4320</v>
      </c>
      <c r="D71" s="99">
        <f>SUM(D72:D74)</f>
        <v>4320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303</v>
      </c>
      <c r="D72" s="102">
        <f>C72</f>
        <v>303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4017</v>
      </c>
      <c r="D74" s="102">
        <f>C74</f>
        <v>4017</v>
      </c>
      <c r="E74" s="113">
        <f t="shared" si="2"/>
        <v>0</v>
      </c>
      <c r="F74" s="104"/>
    </row>
    <row r="75" spans="1:16" ht="36">
      <c r="A75" s="390" t="s">
        <v>694</v>
      </c>
      <c r="B75" s="391" t="s">
        <v>724</v>
      </c>
      <c r="C75" s="97">
        <f>C76+C78</f>
        <v>34927</v>
      </c>
      <c r="D75" s="97">
        <f>D76+D78</f>
        <v>34927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34927</v>
      </c>
      <c r="D76" s="102">
        <f>C76</f>
        <v>34927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103</v>
      </c>
      <c r="D80" s="97">
        <f>SUM(D81:D84)</f>
        <v>103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103</v>
      </c>
      <c r="D82" s="102">
        <f>C82</f>
        <v>103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1809</v>
      </c>
      <c r="D85" s="98">
        <f>SUM(D86:D90)+D94</f>
        <v>1809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599</v>
      </c>
      <c r="D87" s="102">
        <f>C87</f>
        <v>599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/>
      <c r="D88" s="102">
        <f>C88</f>
        <v>0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889</v>
      </c>
      <c r="D89" s="102">
        <f>C89</f>
        <v>889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92</v>
      </c>
      <c r="D90" s="97">
        <f>SUM(D91:D93)</f>
        <v>92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17</v>
      </c>
      <c r="D92" s="102">
        <f>C92</f>
        <v>17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75</v>
      </c>
      <c r="D93" s="102">
        <f>C93</f>
        <v>75</v>
      </c>
      <c r="E93" s="113">
        <f t="shared" si="2"/>
        <v>0</v>
      </c>
      <c r="F93" s="102"/>
    </row>
    <row r="94" spans="1:6" ht="24">
      <c r="A94" s="390" t="s">
        <v>758</v>
      </c>
      <c r="B94" s="391" t="s">
        <v>759</v>
      </c>
      <c r="C94" s="102">
        <f>+'справка №1-БАЛАНС'!G67</f>
        <v>229</v>
      </c>
      <c r="D94" s="102">
        <f>C94</f>
        <v>229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9</v>
      </c>
      <c r="D95" s="102">
        <f>C95</f>
        <v>9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41168</v>
      </c>
      <c r="D96" s="98">
        <f>D85+D80+D75+D71+D95</f>
        <v>41168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125194</v>
      </c>
      <c r="D97" s="98">
        <f>D96+D68+D66</f>
        <v>41168</v>
      </c>
      <c r="E97" s="98">
        <f>E96+E68+E66</f>
        <v>84026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/>
      <c r="D104" s="102">
        <v>0</v>
      </c>
      <c r="E104" s="102"/>
      <c r="F104" s="119">
        <f>C104+D104-E104</f>
        <v>0</v>
      </c>
    </row>
    <row r="105" spans="1:16" ht="12">
      <c r="A105" s="406" t="s">
        <v>777</v>
      </c>
      <c r="B105" s="389" t="s">
        <v>778</v>
      </c>
      <c r="C105" s="97">
        <f>SUM(C102:C104)</f>
        <v>0</v>
      </c>
      <c r="D105" s="97">
        <f>SUM(D102:D104)</f>
        <v>0</v>
      </c>
      <c r="E105" s="97">
        <f>SUM(E102:E104)</f>
        <v>0</v>
      </c>
      <c r="F105" s="97">
        <f>SUM(F102:F104)</f>
        <v>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19">
        <f>+'справка №5'!B44</f>
        <v>40205</v>
      </c>
      <c r="B109" s="614"/>
      <c r="C109" s="614" t="s">
        <v>381</v>
      </c>
      <c r="D109" s="614"/>
      <c r="E109" s="614"/>
      <c r="F109" s="614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3" t="s">
        <v>781</v>
      </c>
      <c r="D111" s="613"/>
      <c r="E111" s="613"/>
      <c r="F111" s="613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625" defaultRowHeight="12.75"/>
  <cols>
    <col min="1" max="1" width="52.625" style="101" customWidth="1"/>
    <col min="2" max="2" width="9.125" style="512" customWidth="1"/>
    <col min="3" max="3" width="12.875" style="101" customWidth="1"/>
    <col min="4" max="4" width="12.625" style="101" customWidth="1"/>
    <col min="5" max="5" width="12.875" style="101" customWidth="1"/>
    <col min="6" max="6" width="11.50390625" style="101" customWidth="1"/>
    <col min="7" max="7" width="12.50390625" style="101" customWidth="1"/>
    <col min="8" max="8" width="14.125" style="101" customWidth="1"/>
    <col min="9" max="9" width="14.00390625" style="101" customWidth="1"/>
    <col min="10" max="16384" width="10.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2" t="str">
        <f>'справка №1-БАЛАНС'!E3</f>
        <v>Ти Би Ай Кредит ЕАД</v>
      </c>
      <c r="C4" s="622"/>
      <c r="D4" s="622"/>
      <c r="E4" s="622"/>
      <c r="F4" s="622"/>
      <c r="G4" s="628" t="s">
        <v>2</v>
      </c>
      <c r="H4" s="628"/>
      <c r="I4" s="490">
        <f>'справка №1-БАЛАНС'!H3</f>
        <v>121554961</v>
      </c>
    </row>
    <row r="5" spans="1:9" ht="15">
      <c r="A5" s="491" t="s">
        <v>4</v>
      </c>
      <c r="B5" s="623">
        <f>'справка №1-БАЛАНС'!E5</f>
        <v>40178</v>
      </c>
      <c r="C5" s="623"/>
      <c r="D5" s="623"/>
      <c r="E5" s="623"/>
      <c r="F5" s="623"/>
      <c r="G5" s="626" t="s">
        <v>3</v>
      </c>
      <c r="H5" s="627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24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40205</v>
      </c>
      <c r="B30" s="625"/>
      <c r="C30" s="625"/>
      <c r="D30" s="449" t="s">
        <v>819</v>
      </c>
      <c r="E30" s="624"/>
      <c r="F30" s="624"/>
      <c r="G30" s="624"/>
      <c r="H30" s="414" t="s">
        <v>781</v>
      </c>
      <c r="I30" s="624"/>
      <c r="J30" s="624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F5" sqref="F5"/>
    </sheetView>
  </sheetViews>
  <sheetFormatPr defaultColWidth="10.625" defaultRowHeight="12.75"/>
  <cols>
    <col min="1" max="1" width="49.375" style="497" customWidth="1"/>
    <col min="2" max="2" width="8.125" style="507" customWidth="1"/>
    <col min="3" max="3" width="18.00390625" style="497" customWidth="1"/>
    <col min="4" max="4" width="17.50390625" style="497" customWidth="1"/>
    <col min="5" max="5" width="21.375" style="497" customWidth="1"/>
    <col min="6" max="6" width="19.625" style="497" customWidth="1"/>
    <col min="7" max="16384" width="10.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29" t="str">
        <f>'справка №1-БАЛАНС'!E3</f>
        <v>Ти Би Ай Кредит ЕАД</v>
      </c>
      <c r="C3" s="629"/>
      <c r="D3" s="629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0">
        <f>'справка №1-БАЛАНС'!E5</f>
        <v>40178</v>
      </c>
      <c r="C4" s="630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40205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1" t="s">
        <v>848</v>
      </c>
      <c r="D150" s="631"/>
      <c r="E150" s="631"/>
      <c r="F150" s="631"/>
    </row>
    <row r="151" spans="3:5" ht="12.75">
      <c r="C151" s="505"/>
      <c r="E151" s="505"/>
    </row>
    <row r="154" spans="3:6" ht="12.75">
      <c r="C154" s="631" t="s">
        <v>856</v>
      </c>
      <c r="D154" s="631"/>
      <c r="E154" s="631"/>
      <c r="F154" s="631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2008-03-26T09:53:05Z</cp:lastPrinted>
  <dcterms:created xsi:type="dcterms:W3CDTF">2000-06-29T12:02:40Z</dcterms:created>
  <dcterms:modified xsi:type="dcterms:W3CDTF">2010-01-29T07:37:06Z</dcterms:modified>
  <cp:category/>
  <cp:version/>
  <cp:contentType/>
  <cp:contentStatus/>
</cp:coreProperties>
</file>