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<sst xmlns="http://schemas.openxmlformats.org/spreadsheetml/2006/main" count="1061" uniqueCount="876">
  <si>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</si>
  <si>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</si>
  <si>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</si>
  <si>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</si>
  <si>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</si>
  <si>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</si>
  <si>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</si>
  <si>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</si>
  <si>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</si>
  <si>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</si>
  <si>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</si>
  <si>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</si>
  <si>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</si>
  <si>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</si>
  <si>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</si>
  <si>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</si>
  <si>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</si>
  <si>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</si>
  <si>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</si>
  <si>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</si>
  <si>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</si>
  <si>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</si>
  <si>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</si>
  <si>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</si>
  <si>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</si>
  <si>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</si>
  <si>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</si>
  <si>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</si>
  <si>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</si>
  <si>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</si>
  <si>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</si>
  <si>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</si>
  <si>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</si>
  <si>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</si>
  <si>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</si>
  <si>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</si>
  <si>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</si>
  <si>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</si>
  <si>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</si>
  <si>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</si>
  <si>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</si>
  <si>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</si>
  <si>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</si>
  <si>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</si>
  <si>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</si>
  <si>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</si>
  <si>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</si>
  <si>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</si>
  <si>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</si>
  <si>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</si>
  <si>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</si>
  <si>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</si>
  <si>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</si>
  <si>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</si>
  <si>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</si>
  <si>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</si>
  <si>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</si>
  <si>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</si>
  <si>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</si>
  <si>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</si>
  <si>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</si>
  <si>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</si>
  <si>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</si>
  <si>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</si>
  <si>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</si>
  <si>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</si>
  <si>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</si>
  <si>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</si>
  <si>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</si>
  <si>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</si>
  <si>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</si>
  <si>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</si>
  <si>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</si>
  <si>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</si>
  <si>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</si>
  <si>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</si>
  <si>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</si>
  <si>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</si>
  <si>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</si>
  <si>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</si>
  <si>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</si>
  <si>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</si>
  <si>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</si>
  <si>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</si>
  <si>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</si>
  <si>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</si>
  <si>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</si>
  <si>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</si>
  <si>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</si>
  <si>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</si>
  <si>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</si>
  <si>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</si>
  <si>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</si>
  <si>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</si>
  <si>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</si>
  <si>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</si>
  <si>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</si>
  <si>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</si>
  <si>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</si>
  <si>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</si>
  <si>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</si>
  <si>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</si>
  <si>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</si>
  <si>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</si>
  <si>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</si>
  <si>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</si>
  <si>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</si>
  <si>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</si>
  <si>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</si>
  <si>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</si>
  <si>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</si>
  <si>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</si>
  <si>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</si>
  <si>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</si>
  <si>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</si>
  <si>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</si>
  <si>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</si>
  <si>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</si>
  <si>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</si>
  <si>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</si>
  <si>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</si>
  <si>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</si>
  <si>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</si>
  <si>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</si>
  <si>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</si>
  <si>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</si>
  <si>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</si>
  <si>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</si>
  <si>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</si>
  <si>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</si>
  <si>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</si>
  <si>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</si>
  <si>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</si>
  <si>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</si>
  <si>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</si>
  <si>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</si>
  <si>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</si>
  <si>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</si>
  <si>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</si>
  <si>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</si>
  <si>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</si>
  <si>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</si>
  <si>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</si>
  <si>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</si>
  <si>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</si>
  <si>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</si>
  <si>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</si>
  <si>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</si>
  <si>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</si>
  <si>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</si>
  <si>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</si>
  <si>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</si>
  <si>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</si>
  <si>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</si>
  <si>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</si>
  <si>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</si>
  <si>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</si>
  <si>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</si>
  <si>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</si>
  <si>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</si>
  <si>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</si>
  <si>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</si>
  <si>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</si>
  <si>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</si>
  <si>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</si>
  <si>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</si>
  <si>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</si>
  <si>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</si>
  <si>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</si>
  <si>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</si>
  <si>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</si>
  <si>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</si>
  <si>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</si>
  <si>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</si>
  <si>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</si>
  <si>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</si>
  <si>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</si>
  <si>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</si>
  <si>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</si>
  <si>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</si>
  <si>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</si>
  <si>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</si>
  <si>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</si>
  <si>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</si>
  <si>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</si>
  <si>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</si>
  <si>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</si>
  <si>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</si>
  <si>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</si>
  <si>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</si>
  <si>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</si>
  <si>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</si>
  <si>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</si>
  <si>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</si>
  <si>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</si>
  <si>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</si>
  <si>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</si>
  <si>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</si>
  <si>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</si>
  <si>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</si>
  <si>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</si>
  <si>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</si>
  <si>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</si>
  <si>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</si>
  <si>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</si>
  <si>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</si>
  <si>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</si>
  <si>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</si>
  <si>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</si>
  <si>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</si>
  <si>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</si>
  <si>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</si>
  <si>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</si>
  <si>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</si>
  <si>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</si>
  <si>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</si>
  <si>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</si>
  <si>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</si>
  <si>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</si>
  <si>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</si>
  <si>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</si>
  <si>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</si>
  <si>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</si>
  <si>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</si>
  <si>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</si>
  <si>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</si>
  <si>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</si>
  <si>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</si>
  <si>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</si>
  <si>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</si>
  <si>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</si>
  <si>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</si>
  <si>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</si>
  <si>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</si>
  <si>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</si>
  <si>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</si>
  <si>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</si>
  <si>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</si>
  <si>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</si>
  <si>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</si>
  <si>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</si>
  <si>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</si>
  <si>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</si>
  <si>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</si>
  <si>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</si>
  <si>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</si>
  <si>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</si>
  <si>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</si>
  <si>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</si>
  <si>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</si>
  <si>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</si>
  <si>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</si>
  <si>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</si>
  <si>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</si>
  <si>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</si>
  <si>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</si>
  <si>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</si>
  <si>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</si>
  <si>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</si>
  <si>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</si>
  <si>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</si>
  <si>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</si>
  <si>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</si>
  <si>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</si>
  <si>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</si>
  <si>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</si>
  <si>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</si>
  <si>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</si>
  <si>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</si>
  <si>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</si>
  <si>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</si>
  <si>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</si>
  <si>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</si>
  <si>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</si>
  <si>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</si>
  <si>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</si>
  <si>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</si>
  <si>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</si>
  <si>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</si>
  <si>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</si>
  <si>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</si>
  <si>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</si>
  <si>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</si>
  <si>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</si>
  <si>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</si>
  <si>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</si>
  <si>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</si>
  <si>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</si>
  <si>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</si>
  <si>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</si>
  <si>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</si>
  <si>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</si>
  <si>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</si>
  <si>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</si>
  <si>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</si>
  <si>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</si>
  <si>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</si>
  <si>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</si>
  <si>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</si>
  <si>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</si>
  <si>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</si>
  <si>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</si>
  <si>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</si>
  <si>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</si>
  <si>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</si>
  <si>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</si>
  <si>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</si>
  <si>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</si>
  <si>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</si>
  <si>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</si>
  <si>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</si>
  <si>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</si>
  <si>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</si>
  <si>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</si>
  <si>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</si>
  <si>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</si>
  <si>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</si>
  <si>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</si>
  <si>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</si>
  <si>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</si>
  <si>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</si>
  <si>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</si>
  <si>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</si>
  <si>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</si>
  <si>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</si>
  <si>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</si>
  <si>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</si>
  <si>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</si>
  <si>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</si>
  <si>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</si>
  <si>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</si>
  <si>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</si>
  <si>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</si>
  <si>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</si>
  <si>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</si>
  <si>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</si>
  <si>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</si>
  <si>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</si>
  <si>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</si>
  <si>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</si>
  <si>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</si>
  <si>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</si>
  <si>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</si>
  <si>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</si>
  <si>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</si>
  <si>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</si>
  <si>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</si>
  <si>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</si>
  <si>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</si>
  <si>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</si>
  <si>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</si>
  <si>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</si>
  <si>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</si>
  <si>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</si>
  <si>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</si>
  <si>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</si>
  <si>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</si>
  <si>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</si>
  <si>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</si>
  <si>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</si>
  <si>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</si>
  <si>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</si>
  <si>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</si>
  <si>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</si>
  <si>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</si>
  <si>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</si>
  <si>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</si>
  <si>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</si>
  <si>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</si>
  <si>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</si>
  <si>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</si>
  <si>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</si>
  <si>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</si>
  <si>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</si>
  <si>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</si>
  <si>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</si>
  <si>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</si>
  <si>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</si>
  <si>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</si>
  <si>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</si>
  <si>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</si>
  <si>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</si>
  <si>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</si>
  <si>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</si>
  <si>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</si>
  <si>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</si>
  <si>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</si>
  <si>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</si>
  <si>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</si>
  <si>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</si>
  <si>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</si>
  <si>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</si>
  <si>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</si>
  <si>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</si>
  <si>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</si>
  <si>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</si>
  <si>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</si>
  <si>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</si>
  <si>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</si>
  <si>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</si>
  <si>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</si>
  <si>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</si>
  <si>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</si>
  <si>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</si>
  <si>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</si>
  <si>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</si>
  <si>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</si>
  <si>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</si>
  <si>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</si>
  <si>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</si>
  <si>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</si>
  <si>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</si>
  <si>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</si>
  <si>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</si>
  <si>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</si>
  <si>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</si>
  <si>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</si>
  <si>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</si>
  <si>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</si>
  <si>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</si>
  <si>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</si>
  <si>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</si>
  <si>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</si>
  <si>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</si>
  <si>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</si>
  <si>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</si>
  <si>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</si>
  <si>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</si>
  <si>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</si>
  <si>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</si>
  <si>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</si>
  <si>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</si>
  <si>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</si>
  <si>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</si>
  <si>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</si>
  <si>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</si>
  <si>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</si>
  <si>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</si>
  <si>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</si>
  <si>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</si>
  <si>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</si>
  <si>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</si>
  <si>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</si>
  <si>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</si>
  <si>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</si>
  <si>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</si>
  <si>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</si>
  <si>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</si>
  <si>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</si>
  <si>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</si>
  <si>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</si>
  <si>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</si>
  <si>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</si>
  <si>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</si>
  <si>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</si>
  <si>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</si>
  <si>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</si>
  <si>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</si>
  <si>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</si>
  <si>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</si>
  <si>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</si>
  <si>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</si>
  <si>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</si>
  <si>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</si>
  <si>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</si>
  <si>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</si>
  <si>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</si>
  <si>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</si>
  <si>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</si>
  <si>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</si>
  <si>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</si>
  <si>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</si>
  <si>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</si>
  <si>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</si>
  <si>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</si>
  <si>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</si>
  <si>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</si>
  <si>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</si>
  <si>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</si>
  <si>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</si>
  <si>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</si>
  <si>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</si>
  <si>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</si>
  <si>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</si>
  <si>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</si>
  <si>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</si>
  <si>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</si>
  <si>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</si>
  <si>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</si>
  <si>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</si>
  <si>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</si>
  <si>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</si>
  <si>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</si>
  <si>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</si>
  <si>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</si>
  <si>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</si>
  <si>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</si>
  <si>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</si>
  <si>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</si>
  <si>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</si>
  <si>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</si>
  <si>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</si>
  <si>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</si>
  <si>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</si>
  <si>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</si>
  <si>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</si>
  <si>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</si>
  <si>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</si>
  <si>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</si>
  <si>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</si>
  <si>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</si>
  <si>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</si>
  <si>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</si>
  <si>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</si>
  <si>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</si>
  <si>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</si>
  <si>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</si>
  <si>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</si>
  <si>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</si>
  <si>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</si>
  <si>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</si>
  <si>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</si>
  <si>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</si>
  <si>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</si>
  <si>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</si>
  <si>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</si>
  <si>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</si>
  <si>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</si>
  <si>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</si>
  <si>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</si>
  <si>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</si>
  <si>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</si>
  <si>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</si>
  <si>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</si>
  <si>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</si>
  <si>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</si>
  <si>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</si>
  <si>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</si>
  <si>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</si>
  <si>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</si>
  <si>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</si>
  <si>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</si>
  <si>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</si>
  <si>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</si>
  <si>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</si>
  <si>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</si>
  <si>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</si>
  <si>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</si>
  <si>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</si>
  <si>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</si>
  <si>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</si>
  <si>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</si>
  <si>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</si>
  <si>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</si>
  <si>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</si>
  <si>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</si>
  <si>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</si>
  <si>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</si>
  <si>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</si>
  <si>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</si>
  <si>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</si>
  <si>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</si>
  <si>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</si>
  <si>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</si>
  <si>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</si>
  <si>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</si>
  <si>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</si>
  <si>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</si>
  <si>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</si>
  <si>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</si>
  <si>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</si>
  <si>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</si>
  <si>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</si>
  <si>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</si>
  <si>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</si>
  <si>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</si>
  <si>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</si>
  <si>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</si>
  <si>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</si>
  <si>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</si>
  <si>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</si>
  <si>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</si>
  <si>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</si>
  <si>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</si>
  <si>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</si>
  <si>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</si>
  <si>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</si>
  <si>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</si>
  <si>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</si>
  <si>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</si>
  <si>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</si>
  <si>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</si>
  <si>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</si>
  <si>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</si>
  <si>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</si>
  <si>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</si>
  <si>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</si>
  <si>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</si>
  <si>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</si>
  <si>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</si>
  <si>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</si>
  <si>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</si>
  <si>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</si>
  <si>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</si>
  <si>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</si>
  <si>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</si>
  <si>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</si>
  <si>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</si>
  <si>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</si>
  <si>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</si>
  <si>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</si>
  <si>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</si>
  <si>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</si>
  <si>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</si>
  <si>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</si>
  <si>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</si>
  <si>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</si>
  <si>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</si>
  <si>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</si>
  <si>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</si>
  <si>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</si>
  <si>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</si>
  <si>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</si>
  <si>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</si>
  <si>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</si>
  <si>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</si>
  <si>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</si>
  <si>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</si>
  <si>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</si>
  <si>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</si>
  <si>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</si>
  <si>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</si>
  <si>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</si>
  <si>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</si>
  <si>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</si>
  <si>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</si>
  <si>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</si>
  <si>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</si>
  <si>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</si>
  <si>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</si>
  <si>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</si>
  <si>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</si>
  <si>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</si>
  <si>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</si>
  <si>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</si>
  <si>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</si>
  <si>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</si>
  <si>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</si>
  <si>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</si>
  <si>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</si>
  <si>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</si>
  <si>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</si>
  <si>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</si>
  <si>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</si>
  <si>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</si>
  <si>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</si>
  <si>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</si>
  <si>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</si>
  <si>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</si>
  <si>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</si>
  <si>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</si>
  <si>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</si>
  <si>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</si>
  <si>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</si>
  <si>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</si>
  <si>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</si>
  <si>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</si>
  <si>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</si>
  <si>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</si>
  <si>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</si>
  <si>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</si>
  <si>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</si>
  <si>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</si>
  <si>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</si>
  <si>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</si>
  <si>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</si>
  <si>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</si>
  <si>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</si>
  <si>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</si>
  <si>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</si>
  <si>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</si>
  <si>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</si>
  <si>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</si>
  <si>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</si>
  <si>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</si>
  <si>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</si>
  <si>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</si>
  <si>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</si>
  <si>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</si>
  <si>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</si>
  <si>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</si>
  <si>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</si>
  <si>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</si>
  <si>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</si>
  <si>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</si>
  <si>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</si>
  <si>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</si>
  <si>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</si>
  <si>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</si>
  <si>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</si>
  <si>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</si>
  <si>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</si>
  <si>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</si>
  <si>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</si>
  <si>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</si>
  <si>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</si>
  <si>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</si>
  <si>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</si>
  <si>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</si>
  <si>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</si>
  <si>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</si>
  <si>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</si>
  <si>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</si>
  <si>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</si>
  <si>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</si>
  <si>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</si>
  <si>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</si>
  <si>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</si>
  <si>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</si>
  <si>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</si>
  <si>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</si>
  <si>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</si>
  <si>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</si>
  <si>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</si>
  <si>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</si>
  <si>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</si>
  <si>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</si>
  <si>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</si>
  <si>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</si>
  <si>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</si>
  <si>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</si>
  <si>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</si>
  <si>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</si>
  <si>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</si>
  <si>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</si>
  <si>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</si>
  <si>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</si>
  <si>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</si>
  <si>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</si>
  <si>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</si>
  <si>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</si>
  <si>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</si>
  <si>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</si>
  <si>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</si>
  <si>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</si>
  <si>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</si>
  <si>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</si>
  <si>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</si>
  <si>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</si>
  <si>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</si>
  <si>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</si>
  <si>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</si>
  <si>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</si>
  <si>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</si>
  <si>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</si>
  <si>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</si>
  <si>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</si>
  <si>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</si>
  <si>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</si>
  <si>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</si>
  <si>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</si>
  <si>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</si>
  <si>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</si>
  <si>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</si>
  <si>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</si>
  <si>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</si>
  <si>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</si>
  <si>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</si>
  <si>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</si>
  <si>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</si>
  <si>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</si>
  <si>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</si>
  <si>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</si>
  <si>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</si>
  <si>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</si>
  <si>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</si>
  <si>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</si>
  <si>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</si>
  <si>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</si>
  <si>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</si>
  <si>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</si>
  <si>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</si>
  <si>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</si>
  <si>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</si>
  <si>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</si>
  <si>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</si>
  <si>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</si>
  <si>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</si>
  <si>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</si>
  <si>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</si>
  <si>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</si>
  <si>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</si>
  <si>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</si>
  <si>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</si>
  <si>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</si>
  <si>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</si>
  <si>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</si>
  <si>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</si>
  <si>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</si>
  <si>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</si>
  <si>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</si>
  <si>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</si>
  <si>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</si>
  <si>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</si>
  <si>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</si>
  <si>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</si>
  <si>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</si>
  <si>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</si>
  <si>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</si>
  <si>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</si>
  <si>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</si>
  <si>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</si>
  <si>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</si>
  <si>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</si>
  <si>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</si>
  <si>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</si>
  <si>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</si>
  <si>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</si>
  <si>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</si>
  <si>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</si>
  <si>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</si>
  <si>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</si>
  <si>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</si>
  <si>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</si>
  <si>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</si>
  <si>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</si>
  <si>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</si>
  <si>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</si>
  <si>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</si>
  <si>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</si>
  <si>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</si>
  <si>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</si>
  <si>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</si>
  <si>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</si>
  <si>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</si>
  <si>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</si>
  <si>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</si>
  <si>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</si>
  <si>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</si>
  <si>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</si>
  <si>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</si>
  <si>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</si>
  <si>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</si>
  <si>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</si>
  <si>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</si>
  <si>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</si>
  <si>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</si>
  <si>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</si>
  <si>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</si>
  <si>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</si>
  <si>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</si>
  <si>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</si>
  <si>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</si>
  <si>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</si>
  <si>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</si>
  <si>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</si>
  <si>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</si>
  <si>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</si>
  <si>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</si>
  <si>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</si>
  <si>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</si>
  <si>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</si>
  <si>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</si>
  <si>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</si>
  <si>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</si>
  <si>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</si>
  <si>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</si>
  <si>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</si>
  <si>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</si>
  <si>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</si>
  <si>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</si>
  <si>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</si>
  <si>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</si>
  <si>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09.2009 г.</t>
  </si>
  <si>
    <t>2. "МОНБАТ РИСАЙКЛИНГ" ЕАД</t>
  </si>
  <si>
    <t>3. MONBAT UK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</si>
</sst>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B19">
      <selection activeCell="A29" sqref="A2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868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869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4906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12104</v>
      </c>
      <c r="D12" s="151">
        <v>10306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17962</v>
      </c>
      <c r="D13" s="151">
        <v>17273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11071</v>
      </c>
      <c r="D14" s="151">
        <v>1515</v>
      </c>
      <c r="E14" s="243" t="s">
        <v>34</v>
      </c>
      <c r="F14" s="242" t="s">
        <v>35</v>
      </c>
      <c r="G14" s="316">
        <v>-1025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1450</v>
      </c>
      <c r="D15" s="151">
        <v>1699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1738</v>
      </c>
      <c r="D16" s="151">
        <v>1991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15455</v>
      </c>
      <c r="D17" s="151">
        <v>22388</v>
      </c>
      <c r="E17" s="243" t="s">
        <v>46</v>
      </c>
      <c r="F17" s="245" t="s">
        <v>47</v>
      </c>
      <c r="G17" s="154">
        <f>G11+G14+G15+G16</f>
        <v>37975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64686</v>
      </c>
      <c r="D19" s="155">
        <f>SUM(D11:D18)</f>
        <v>59942</v>
      </c>
      <c r="E19" s="237" t="s">
        <v>53</v>
      </c>
      <c r="F19" s="242" t="s">
        <v>54</v>
      </c>
      <c r="G19" s="152">
        <v>22769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36087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36087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42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65936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51</v>
      </c>
      <c r="D27" s="155">
        <f>SUM(D23:D26)</f>
        <v>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13216</v>
      </c>
      <c r="H31" s="152">
        <v>26295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13216</v>
      </c>
      <c r="H33" s="154">
        <f>H27+H31+H32</f>
        <v>26295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13923</v>
      </c>
      <c r="D34" s="155">
        <f>SUM(D35:D38)</f>
        <v>11514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13923</v>
      </c>
      <c r="D35" s="151">
        <v>11514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117127</v>
      </c>
      <c r="H36" s="154">
        <f>H25+H17+H33</f>
        <v>106460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31861</v>
      </c>
      <c r="H44" s="152">
        <v>21477</v>
      </c>
    </row>
    <row r="45" spans="1:15" ht="15">
      <c r="A45" s="235" t="s">
        <v>136</v>
      </c>
      <c r="B45" s="249" t="s">
        <v>137</v>
      </c>
      <c r="C45" s="155">
        <f>C34+C39+C44</f>
        <v>13923</v>
      </c>
      <c r="D45" s="155">
        <f>D34+D39+D44</f>
        <v>11514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1891</v>
      </c>
      <c r="H46" s="152">
        <v>1450</v>
      </c>
    </row>
    <row r="47" spans="1:13" ht="15">
      <c r="A47" s="235" t="s">
        <v>143</v>
      </c>
      <c r="B47" s="241" t="s">
        <v>144</v>
      </c>
      <c r="C47" s="151">
        <v>17030</v>
      </c>
      <c r="D47" s="151">
        <v>14542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33752</v>
      </c>
      <c r="H49" s="154">
        <f>SUM(H43:H48)</f>
        <v>22927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17030</v>
      </c>
      <c r="D51" s="155">
        <f>SUM(D47:D50)</f>
        <v>14542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2172</v>
      </c>
      <c r="H53" s="152">
        <v>2172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95690</v>
      </c>
      <c r="D55" s="155">
        <f>D19+D20+D21+D27+D32+D45+D51+D53+D54</f>
        <v>86033</v>
      </c>
      <c r="E55" s="237" t="s">
        <v>172</v>
      </c>
      <c r="F55" s="261" t="s">
        <v>173</v>
      </c>
      <c r="G55" s="154">
        <f>G49+G51+G52+G53+G54</f>
        <v>35924</v>
      </c>
      <c r="H55" s="154">
        <f>H49+H51+H52+H53+H54</f>
        <v>25099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9247</v>
      </c>
      <c r="D58" s="151">
        <v>5538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2695</v>
      </c>
      <c r="D59" s="151">
        <v>3142</v>
      </c>
      <c r="E59" s="251" t="s">
        <v>181</v>
      </c>
      <c r="F59" s="242" t="s">
        <v>182</v>
      </c>
      <c r="G59" s="152">
        <v>5867</v>
      </c>
      <c r="H59" s="152">
        <v>5867</v>
      </c>
      <c r="M59" s="157"/>
    </row>
    <row r="60" spans="1:8" ht="15">
      <c r="A60" s="235" t="s">
        <v>183</v>
      </c>
      <c r="B60" s="241" t="s">
        <v>184</v>
      </c>
      <c r="C60" s="151">
        <v>64</v>
      </c>
      <c r="D60" s="151">
        <v>66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24147</v>
      </c>
      <c r="D61" s="151">
        <v>24640</v>
      </c>
      <c r="E61" s="243" t="s">
        <v>189</v>
      </c>
      <c r="F61" s="272" t="s">
        <v>190</v>
      </c>
      <c r="G61" s="154">
        <f>SUM(G62:G68)</f>
        <v>20080</v>
      </c>
      <c r="H61" s="154">
        <f>SUM(H62:H68)</f>
        <v>13602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5811</v>
      </c>
      <c r="H62" s="152">
        <v>3528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261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36153</v>
      </c>
      <c r="D64" s="155">
        <f>SUM(D58:D63)</f>
        <v>33386</v>
      </c>
      <c r="E64" s="237" t="s">
        <v>200</v>
      </c>
      <c r="F64" s="242" t="s">
        <v>201</v>
      </c>
      <c r="G64" s="152">
        <f>13225-32</f>
        <v>13193</v>
      </c>
      <c r="H64" s="152">
        <v>7383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32</v>
      </c>
      <c r="H65" s="152">
        <v>36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631</v>
      </c>
      <c r="H66" s="152">
        <f>617+39</f>
        <v>656</v>
      </c>
    </row>
    <row r="67" spans="1:8" ht="15">
      <c r="A67" s="235" t="s">
        <v>207</v>
      </c>
      <c r="B67" s="241" t="s">
        <v>208</v>
      </c>
      <c r="C67" s="151">
        <v>12859</v>
      </c>
      <c r="D67" s="151">
        <v>8415</v>
      </c>
      <c r="E67" s="237" t="s">
        <v>209</v>
      </c>
      <c r="F67" s="242" t="s">
        <v>210</v>
      </c>
      <c r="G67" s="152">
        <v>327</v>
      </c>
      <c r="H67" s="152">
        <f>455+9</f>
        <v>464</v>
      </c>
    </row>
    <row r="68" spans="1:8" ht="15">
      <c r="A68" s="235" t="s">
        <v>211</v>
      </c>
      <c r="B68" s="241" t="s">
        <v>212</v>
      </c>
      <c r="C68" s="151">
        <f>18976-376</f>
        <v>18600</v>
      </c>
      <c r="D68" s="151">
        <v>17203</v>
      </c>
      <c r="E68" s="237" t="s">
        <v>213</v>
      </c>
      <c r="F68" s="242" t="s">
        <v>214</v>
      </c>
      <c r="G68" s="152">
        <v>86</v>
      </c>
      <c r="H68" s="152">
        <v>1274</v>
      </c>
    </row>
    <row r="69" spans="1:8" ht="15">
      <c r="A69" s="235" t="s">
        <v>215</v>
      </c>
      <c r="B69" s="241" t="s">
        <v>216</v>
      </c>
      <c r="C69" s="151">
        <v>376</v>
      </c>
      <c r="D69" s="151">
        <v>475</v>
      </c>
      <c r="E69" s="251" t="s">
        <v>78</v>
      </c>
      <c r="F69" s="242" t="s">
        <v>217</v>
      </c>
      <c r="G69" s="152">
        <v>753</v>
      </c>
      <c r="H69" s="152">
        <v>1222</v>
      </c>
    </row>
    <row r="70" spans="1:8" ht="15">
      <c r="A70" s="235" t="s">
        <v>218</v>
      </c>
      <c r="B70" s="241" t="s">
        <v>219</v>
      </c>
      <c r="C70" s="151">
        <v>552</v>
      </c>
      <c r="D70" s="151">
        <v>638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26700</v>
      </c>
      <c r="H71" s="161">
        <f>H59+H60+H61+H69+H70</f>
        <v>20691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2485</v>
      </c>
      <c r="D72" s="151">
        <v>1307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654</v>
      </c>
      <c r="D74" s="151">
        <v>597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35526</v>
      </c>
      <c r="D75" s="155">
        <f>SUM(D67:D74)</f>
        <v>28635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26700</v>
      </c>
      <c r="H79" s="162">
        <f>H71+H74+H75+H76</f>
        <v>20691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448</v>
      </c>
      <c r="D87" s="151">
        <v>58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11359</f>
        <v>11359</v>
      </c>
      <c r="D88" s="151">
        <v>3620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124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11931</v>
      </c>
      <c r="D91" s="155">
        <f>SUM(D87:D90)</f>
        <v>3819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451</v>
      </c>
      <c r="D92" s="151">
        <v>377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84061</v>
      </c>
      <c r="D93" s="155">
        <f>D64+D75+D84+D91+D92</f>
        <v>66217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179751</v>
      </c>
      <c r="D94" s="164">
        <f>D93+D55</f>
        <v>152250</v>
      </c>
      <c r="E94" s="449" t="s">
        <v>270</v>
      </c>
      <c r="F94" s="289" t="s">
        <v>271</v>
      </c>
      <c r="G94" s="165">
        <f>G36+G39+G55+G79</f>
        <v>179751</v>
      </c>
      <c r="H94" s="165">
        <f>H36+H39+H55+H79</f>
        <v>152250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859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30" zoomScaleNormal="130" workbookViewId="0" topLeftCell="B1">
      <selection activeCell="G56" sqref="G5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7" t="s">
        <v>2</v>
      </c>
      <c r="G2" s="577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неконсолидиран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6" t="str">
        <f>'справка №1-БАЛАНС'!E5</f>
        <v>09.2009 г.</v>
      </c>
      <c r="C4" s="576"/>
      <c r="D4" s="57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43886</v>
      </c>
      <c r="D9" s="46">
        <f>90964-8345</f>
        <v>82619</v>
      </c>
      <c r="E9" s="298" t="s">
        <v>285</v>
      </c>
      <c r="F9" s="547" t="s">
        <v>286</v>
      </c>
      <c r="G9" s="548">
        <v>70493</v>
      </c>
      <c r="H9" s="548">
        <v>118348</v>
      </c>
    </row>
    <row r="10" spans="1:8" ht="12">
      <c r="A10" s="298" t="s">
        <v>287</v>
      </c>
      <c r="B10" s="299" t="s">
        <v>288</v>
      </c>
      <c r="C10" s="46">
        <v>7109</v>
      </c>
      <c r="D10" s="46">
        <f>13321-4499</f>
        <v>8822</v>
      </c>
      <c r="E10" s="298" t="s">
        <v>289</v>
      </c>
      <c r="F10" s="547" t="s">
        <v>290</v>
      </c>
      <c r="G10" s="548">
        <v>133</v>
      </c>
      <c r="H10" s="548">
        <v>329</v>
      </c>
    </row>
    <row r="11" spans="1:8" ht="12">
      <c r="A11" s="298" t="s">
        <v>291</v>
      </c>
      <c r="B11" s="299" t="s">
        <v>292</v>
      </c>
      <c r="C11" s="46">
        <v>3060</v>
      </c>
      <c r="D11" s="46">
        <v>2744</v>
      </c>
      <c r="E11" s="300" t="s">
        <v>293</v>
      </c>
      <c r="F11" s="547" t="s">
        <v>294</v>
      </c>
      <c r="G11" s="548">
        <v>887</v>
      </c>
      <c r="H11" s="548">
        <v>737</v>
      </c>
    </row>
    <row r="12" spans="1:8" ht="12">
      <c r="A12" s="298" t="s">
        <v>295</v>
      </c>
      <c r="B12" s="299" t="s">
        <v>296</v>
      </c>
      <c r="C12" s="46">
        <v>4517</v>
      </c>
      <c r="D12" s="46">
        <v>6631</v>
      </c>
      <c r="E12" s="300" t="s">
        <v>78</v>
      </c>
      <c r="F12" s="547" t="s">
        <v>297</v>
      </c>
      <c r="G12" s="548">
        <v>8944</v>
      </c>
      <c r="H12" s="548">
        <v>15744</v>
      </c>
    </row>
    <row r="13" spans="1:18" ht="12">
      <c r="A13" s="298" t="s">
        <v>298</v>
      </c>
      <c r="B13" s="299" t="s">
        <v>299</v>
      </c>
      <c r="C13" s="46">
        <v>968</v>
      </c>
      <c r="D13" s="46">
        <v>1514</v>
      </c>
      <c r="E13" s="301" t="s">
        <v>51</v>
      </c>
      <c r="F13" s="549" t="s">
        <v>300</v>
      </c>
      <c r="G13" s="546">
        <f>SUM(G9:G12)</f>
        <v>80457</v>
      </c>
      <c r="H13" s="546">
        <f>SUM(H9:H12)</f>
        <v>135158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5646</v>
      </c>
      <c r="D14" s="46">
        <v>12864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940</v>
      </c>
      <c r="D15" s="47">
        <v>-5080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704</v>
      </c>
      <c r="D16" s="47">
        <v>995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66830</v>
      </c>
      <c r="D19" s="49">
        <f>SUM(D9:D15)+D16</f>
        <v>111109</v>
      </c>
      <c r="E19" s="304" t="s">
        <v>317</v>
      </c>
      <c r="F19" s="550" t="s">
        <v>318</v>
      </c>
      <c r="G19" s="548">
        <v>994</v>
      </c>
      <c r="H19" s="548">
        <v>634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1005</v>
      </c>
      <c r="D22" s="46">
        <v>990</v>
      </c>
      <c r="E22" s="304" t="s">
        <v>326</v>
      </c>
      <c r="F22" s="550" t="s">
        <v>327</v>
      </c>
      <c r="G22" s="548">
        <v>133</v>
      </c>
      <c r="H22" s="548">
        <v>128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84</v>
      </c>
      <c r="D24" s="46">
        <v>188</v>
      </c>
      <c r="E24" s="301" t="s">
        <v>103</v>
      </c>
      <c r="F24" s="552" t="s">
        <v>334</v>
      </c>
      <c r="G24" s="546">
        <f>SUM(G19:G23)</f>
        <v>1127</v>
      </c>
      <c r="H24" s="546">
        <f>SUM(H19:H23)</f>
        <v>762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449</v>
      </c>
      <c r="D25" s="46">
        <v>351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1538</v>
      </c>
      <c r="D26" s="49">
        <f>SUM(D22:D25)</f>
        <v>1529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68368</v>
      </c>
      <c r="D28" s="50">
        <f>D26+D19</f>
        <v>112638</v>
      </c>
      <c r="E28" s="127" t="s">
        <v>339</v>
      </c>
      <c r="F28" s="552" t="s">
        <v>340</v>
      </c>
      <c r="G28" s="546">
        <f>G13+G15+G24</f>
        <v>81584</v>
      </c>
      <c r="H28" s="546">
        <f>H13+H15+H24</f>
        <v>135920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13216</v>
      </c>
      <c r="D30" s="50">
        <f>IF((H28-D28)&gt;0,H28-D28,0)</f>
        <v>23282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855</v>
      </c>
      <c r="B31" s="306" t="s">
        <v>345</v>
      </c>
      <c r="C31" s="46"/>
      <c r="D31" s="46"/>
      <c r="E31" s="296" t="s">
        <v>858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68368</v>
      </c>
      <c r="D33" s="49">
        <f>D28-D31+D32</f>
        <v>112638</v>
      </c>
      <c r="E33" s="127" t="s">
        <v>353</v>
      </c>
      <c r="F33" s="552" t="s">
        <v>354</v>
      </c>
      <c r="G33" s="53">
        <f>G32-G31+G28</f>
        <v>81584</v>
      </c>
      <c r="H33" s="53">
        <f>H32-H31+H28</f>
        <v>135920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13216</v>
      </c>
      <c r="D34" s="50">
        <f>IF((H33-D33)&gt;0,H33-D33,0)</f>
        <v>23282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13216</v>
      </c>
      <c r="D39" s="460">
        <f>+IF((H33-D33-D35)&gt;0,H33-D33-D35,0)</f>
        <v>23282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13216</v>
      </c>
      <c r="D41" s="52">
        <f>IF(H39=0,IF(D39-D40&gt;0,D39-D40+H40,0),IF(H39-H40&lt;0,H40-H39+D39,0))</f>
        <v>23282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81584</v>
      </c>
      <c r="D42" s="53">
        <f>D33+D35+D39</f>
        <v>135920</v>
      </c>
      <c r="E42" s="128" t="s">
        <v>380</v>
      </c>
      <c r="F42" s="129" t="s">
        <v>381</v>
      </c>
      <c r="G42" s="53">
        <f>G39+G33</f>
        <v>81584</v>
      </c>
      <c r="H42" s="53">
        <f>H39+H33</f>
        <v>135920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8" t="s">
        <v>866</v>
      </c>
      <c r="B45" s="578"/>
      <c r="C45" s="578"/>
      <c r="D45" s="578"/>
      <c r="E45" s="57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130" zoomScaleNormal="130" workbookViewId="0" topLeftCell="B1">
      <selection activeCell="D33" sqref="D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09.2009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76787</v>
      </c>
      <c r="D10" s="54">
        <v>135628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-59272</v>
      </c>
      <c r="D11" s="54">
        <v>-101192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-6151</v>
      </c>
      <c r="D13" s="54">
        <v>-7634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4159</v>
      </c>
      <c r="D14" s="54">
        <v>5039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-1939</v>
      </c>
      <c r="D15" s="54">
        <v>-1996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</v>
      </c>
      <c r="D18" s="54">
        <v>-118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-650</v>
      </c>
      <c r="D19" s="54">
        <v>-485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12973</v>
      </c>
      <c r="D20" s="55">
        <f>SUM(D10:D19)</f>
        <v>29242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-6587</v>
      </c>
      <c r="D22" s="54">
        <v>-15886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-2742</v>
      </c>
      <c r="D24" s="54">
        <v>-5245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494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-2409</v>
      </c>
      <c r="D27" s="54">
        <v>-977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-11244</v>
      </c>
      <c r="D32" s="55">
        <f>SUM(D22:D31)</f>
        <v>-22108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-2549</v>
      </c>
      <c r="D35" s="54">
        <v>-2156</v>
      </c>
      <c r="E35" s="130"/>
      <c r="F35" s="130"/>
    </row>
    <row r="36" spans="1:6" ht="12">
      <c r="A36" s="332" t="s">
        <v>437</v>
      </c>
      <c r="B36" s="333" t="s">
        <v>438</v>
      </c>
      <c r="C36" s="54">
        <v>22444</v>
      </c>
      <c r="D36" s="54">
        <v>14016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-12060</v>
      </c>
      <c r="D37" s="54">
        <v>-17685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-300</v>
      </c>
      <c r="D38" s="54">
        <v>-325</v>
      </c>
      <c r="E38" s="130"/>
      <c r="F38" s="130"/>
    </row>
    <row r="39" spans="1:6" ht="12">
      <c r="A39" s="332" t="s">
        <v>443</v>
      </c>
      <c r="B39" s="333" t="s">
        <v>444</v>
      </c>
      <c r="C39" s="54">
        <v>-665</v>
      </c>
      <c r="D39" s="54">
        <v>-931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</v>
      </c>
      <c r="D40" s="54">
        <v>-3215</v>
      </c>
      <c r="E40" s="130"/>
      <c r="F40" s="130"/>
    </row>
    <row r="41" spans="1:8" ht="12">
      <c r="A41" s="332" t="s">
        <v>447</v>
      </c>
      <c r="B41" s="333" t="s">
        <v>448</v>
      </c>
      <c r="C41" s="54">
        <v>-437</v>
      </c>
      <c r="D41" s="54">
        <v>-335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6383</v>
      </c>
      <c r="D42" s="55">
        <f>SUM(D34:D41)</f>
        <v>-10631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8112</v>
      </c>
      <c r="D43" s="55">
        <f>D42+D32+D20</f>
        <v>-3497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3819</v>
      </c>
      <c r="D44" s="132">
        <v>4773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11931</v>
      </c>
      <c r="D45" s="55">
        <f>D44+D43</f>
        <v>1276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11807</v>
      </c>
      <c r="D46" s="56">
        <f>+D45-D47</f>
        <v>1136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124</v>
      </c>
      <c r="D47" s="56">
        <v>140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28" sqref="L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0" t="s">
        <v>461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09.2009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26295</v>
      </c>
      <c r="J11" s="58">
        <f>'справка №1-БАЛАНС'!H29+'справка №1-БАЛАНС'!H32</f>
        <v>0</v>
      </c>
      <c r="K11" s="60"/>
      <c r="L11" s="344">
        <f>SUM(C11:K11)</f>
        <v>106460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26295</v>
      </c>
      <c r="J15" s="61">
        <f t="shared" si="2"/>
        <v>0</v>
      </c>
      <c r="K15" s="61">
        <f t="shared" si="2"/>
        <v>0</v>
      </c>
      <c r="L15" s="344">
        <f t="shared" si="1"/>
        <v>106460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13216</v>
      </c>
      <c r="J16" s="345">
        <f>+'справка №1-БАЛАНС'!G32</f>
        <v>0</v>
      </c>
      <c r="K16" s="60"/>
      <c r="L16" s="344">
        <f t="shared" si="1"/>
        <v>13216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26295</v>
      </c>
      <c r="G17" s="62">
        <f t="shared" si="3"/>
        <v>0</v>
      </c>
      <c r="H17" s="62">
        <f t="shared" si="3"/>
        <v>0</v>
      </c>
      <c r="I17" s="62">
        <f t="shared" si="3"/>
        <v>-26295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26295</v>
      </c>
      <c r="G19" s="60"/>
      <c r="H19" s="60"/>
      <c r="I19" s="60">
        <v>-26295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-558</v>
      </c>
      <c r="D28" s="60">
        <v>-1991</v>
      </c>
      <c r="E28" s="60"/>
      <c r="F28" s="60"/>
      <c r="G28" s="60"/>
      <c r="H28" s="60"/>
      <c r="I28" s="60"/>
      <c r="J28" s="60"/>
      <c r="K28" s="60"/>
      <c r="L28" s="344">
        <f t="shared" si="1"/>
        <v>-2549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37975</v>
      </c>
      <c r="D29" s="59">
        <f aca="true" t="shared" si="6" ref="D29:M29">D17+D20+D21+D24+D28+D27+D15+D16</f>
        <v>22769</v>
      </c>
      <c r="E29" s="59">
        <f t="shared" si="6"/>
        <v>7080</v>
      </c>
      <c r="F29" s="59">
        <f t="shared" si="6"/>
        <v>36087</v>
      </c>
      <c r="G29" s="59">
        <f t="shared" si="6"/>
        <v>0</v>
      </c>
      <c r="H29" s="59">
        <f t="shared" si="6"/>
        <v>0</v>
      </c>
      <c r="I29" s="59">
        <f t="shared" si="6"/>
        <v>13216</v>
      </c>
      <c r="J29" s="59">
        <f t="shared" si="6"/>
        <v>0</v>
      </c>
      <c r="K29" s="59">
        <f t="shared" si="6"/>
        <v>0</v>
      </c>
      <c r="L29" s="344">
        <f t="shared" si="1"/>
        <v>117127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37975</v>
      </c>
      <c r="D32" s="59">
        <f t="shared" si="7"/>
        <v>22769</v>
      </c>
      <c r="E32" s="59">
        <f t="shared" si="7"/>
        <v>7080</v>
      </c>
      <c r="F32" s="59">
        <f t="shared" si="7"/>
        <v>36087</v>
      </c>
      <c r="G32" s="59">
        <f t="shared" si="7"/>
        <v>0</v>
      </c>
      <c r="H32" s="59">
        <f t="shared" si="7"/>
        <v>0</v>
      </c>
      <c r="I32" s="59">
        <f t="shared" si="7"/>
        <v>13216</v>
      </c>
      <c r="J32" s="59">
        <f t="shared" si="7"/>
        <v>0</v>
      </c>
      <c r="K32" s="59">
        <f t="shared" si="7"/>
        <v>0</v>
      </c>
      <c r="L32" s="344">
        <f t="shared" si="1"/>
        <v>117127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862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G10">
      <selection activeCell="S38" sqref="S3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385</v>
      </c>
      <c r="B2" s="610"/>
      <c r="C2" s="611" t="str">
        <f>'справка №1-БАЛАНС'!E3</f>
        <v>"МОНБАТ" АД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609" t="s">
        <v>5</v>
      </c>
      <c r="B3" s="610"/>
      <c r="C3" s="612" t="str">
        <f>'справка №1-БАЛАНС'!E5</f>
        <v>09.2009 г.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>
        <f>117+19</f>
        <v>136</v>
      </c>
      <c r="F9" s="189"/>
      <c r="G9" s="74">
        <f>D9+E9-F9</f>
        <v>4906</v>
      </c>
      <c r="H9" s="65"/>
      <c r="I9" s="65"/>
      <c r="J9" s="74">
        <f>G9+H9-I9</f>
        <v>4906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4906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12044</v>
      </c>
      <c r="E10" s="189">
        <f>1861+167</f>
        <v>2028</v>
      </c>
      <c r="F10" s="189"/>
      <c r="G10" s="74">
        <f aca="true" t="shared" si="2" ref="G10:G39">D10+E10-F10</f>
        <v>14072</v>
      </c>
      <c r="H10" s="65"/>
      <c r="I10" s="65"/>
      <c r="J10" s="74">
        <f aca="true" t="shared" si="3" ref="J10:J39">G10+H10-I10</f>
        <v>14072</v>
      </c>
      <c r="K10" s="65">
        <v>1738</v>
      </c>
      <c r="L10" s="65">
        <f>141+89</f>
        <v>230</v>
      </c>
      <c r="M10" s="65"/>
      <c r="N10" s="74">
        <f aca="true" t="shared" si="4" ref="N10:N39">K10+L10-M10</f>
        <v>1968</v>
      </c>
      <c r="O10" s="65"/>
      <c r="P10" s="65"/>
      <c r="Q10" s="74">
        <f t="shared" si="0"/>
        <v>1968</v>
      </c>
      <c r="R10" s="74">
        <f t="shared" si="1"/>
        <v>12104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42797</v>
      </c>
      <c r="E11" s="189">
        <f>1310+1491</f>
        <v>2801</v>
      </c>
      <c r="F11" s="189">
        <f>24+8</f>
        <v>32</v>
      </c>
      <c r="G11" s="74">
        <f t="shared" si="2"/>
        <v>45566</v>
      </c>
      <c r="H11" s="65"/>
      <c r="I11" s="65"/>
      <c r="J11" s="74">
        <f t="shared" si="3"/>
        <v>45566</v>
      </c>
      <c r="K11" s="65">
        <v>25524</v>
      </c>
      <c r="L11" s="65">
        <f>1378+716</f>
        <v>2094</v>
      </c>
      <c r="M11" s="65">
        <f>9+5</f>
        <v>14</v>
      </c>
      <c r="N11" s="74">
        <f t="shared" si="4"/>
        <v>27604</v>
      </c>
      <c r="O11" s="65"/>
      <c r="P11" s="65"/>
      <c r="Q11" s="74">
        <f t="shared" si="0"/>
        <v>27604</v>
      </c>
      <c r="R11" s="74">
        <f t="shared" si="1"/>
        <v>17962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1856</v>
      </c>
      <c r="E12" s="189">
        <f>8967+733</f>
        <v>9700</v>
      </c>
      <c r="F12" s="189"/>
      <c r="G12" s="74">
        <f t="shared" si="2"/>
        <v>11556</v>
      </c>
      <c r="H12" s="65"/>
      <c r="I12" s="65"/>
      <c r="J12" s="74">
        <f t="shared" si="3"/>
        <v>11556</v>
      </c>
      <c r="K12" s="65">
        <v>341</v>
      </c>
      <c r="L12" s="65">
        <f>33+111</f>
        <v>144</v>
      </c>
      <c r="M12" s="65"/>
      <c r="N12" s="74">
        <f t="shared" si="4"/>
        <v>485</v>
      </c>
      <c r="O12" s="65"/>
      <c r="P12" s="65"/>
      <c r="Q12" s="74">
        <f t="shared" si="0"/>
        <v>485</v>
      </c>
      <c r="R12" s="74">
        <f t="shared" si="1"/>
        <v>11071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3269</v>
      </c>
      <c r="E13" s="189">
        <f>30</f>
        <v>30</v>
      </c>
      <c r="F13" s="189"/>
      <c r="G13" s="74">
        <f t="shared" si="2"/>
        <v>3299</v>
      </c>
      <c r="H13" s="65"/>
      <c r="I13" s="65"/>
      <c r="J13" s="74">
        <f t="shared" si="3"/>
        <v>3299</v>
      </c>
      <c r="K13" s="65">
        <v>1570</v>
      </c>
      <c r="L13" s="65">
        <f>191+88</f>
        <v>279</v>
      </c>
      <c r="M13" s="65"/>
      <c r="N13" s="74">
        <f t="shared" si="4"/>
        <v>1849</v>
      </c>
      <c r="O13" s="65"/>
      <c r="P13" s="65"/>
      <c r="Q13" s="74">
        <f t="shared" si="0"/>
        <v>1849</v>
      </c>
      <c r="R13" s="74">
        <f t="shared" si="1"/>
        <v>1450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3147</v>
      </c>
      <c r="E14" s="189">
        <f>27+27</f>
        <v>54</v>
      </c>
      <c r="F14" s="189"/>
      <c r="G14" s="74">
        <f t="shared" si="2"/>
        <v>3201</v>
      </c>
      <c r="H14" s="65"/>
      <c r="I14" s="65"/>
      <c r="J14" s="74">
        <f t="shared" si="3"/>
        <v>3201</v>
      </c>
      <c r="K14" s="65">
        <v>1156</v>
      </c>
      <c r="L14" s="65">
        <f>206+101</f>
        <v>307</v>
      </c>
      <c r="M14" s="65"/>
      <c r="N14" s="74">
        <f t="shared" si="4"/>
        <v>1463</v>
      </c>
      <c r="O14" s="65"/>
      <c r="P14" s="65"/>
      <c r="Q14" s="74">
        <f t="shared" si="0"/>
        <v>1463</v>
      </c>
      <c r="R14" s="74">
        <f t="shared" si="1"/>
        <v>1738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863</v>
      </c>
      <c r="B15" s="374" t="s">
        <v>864</v>
      </c>
      <c r="C15" s="456" t="s">
        <v>865</v>
      </c>
      <c r="D15" s="457">
        <v>22388</v>
      </c>
      <c r="E15" s="457">
        <v>4795</v>
      </c>
      <c r="F15" s="457">
        <v>11728</v>
      </c>
      <c r="G15" s="74">
        <f t="shared" si="2"/>
        <v>15455</v>
      </c>
      <c r="H15" s="458"/>
      <c r="I15" s="458"/>
      <c r="J15" s="74">
        <f t="shared" si="3"/>
        <v>15455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15455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90271</v>
      </c>
      <c r="E17" s="194">
        <f>SUM(E9:E16)</f>
        <v>19544</v>
      </c>
      <c r="F17" s="194">
        <f>SUM(F9:F16)</f>
        <v>11760</v>
      </c>
      <c r="G17" s="74">
        <f t="shared" si="2"/>
        <v>98055</v>
      </c>
      <c r="H17" s="75">
        <f>SUM(H9:H16)</f>
        <v>0</v>
      </c>
      <c r="I17" s="75">
        <f>SUM(I9:I16)</f>
        <v>0</v>
      </c>
      <c r="J17" s="74">
        <f t="shared" si="3"/>
        <v>98055</v>
      </c>
      <c r="K17" s="75">
        <f>SUM(K9:K16)</f>
        <v>30329</v>
      </c>
      <c r="L17" s="75">
        <f>SUM(L9:L16)</f>
        <v>3054</v>
      </c>
      <c r="M17" s="75">
        <f>SUM(M9:M16)</f>
        <v>14</v>
      </c>
      <c r="N17" s="74">
        <f t="shared" si="4"/>
        <v>33369</v>
      </c>
      <c r="O17" s="75">
        <f>SUM(O9:O16)</f>
        <v>0</v>
      </c>
      <c r="P17" s="75">
        <f>SUM(P9:P16)</f>
        <v>0</v>
      </c>
      <c r="Q17" s="74">
        <f t="shared" si="5"/>
        <v>33369</v>
      </c>
      <c r="R17" s="74">
        <f t="shared" si="6"/>
        <v>64686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v>22</v>
      </c>
      <c r="F21" s="189"/>
      <c r="G21" s="74">
        <f t="shared" si="2"/>
        <v>980</v>
      </c>
      <c r="H21" s="65"/>
      <c r="I21" s="65"/>
      <c r="J21" s="74">
        <f t="shared" si="3"/>
        <v>980</v>
      </c>
      <c r="K21" s="65">
        <v>934</v>
      </c>
      <c r="L21" s="65">
        <f>2+2</f>
        <v>4</v>
      </c>
      <c r="M21" s="65"/>
      <c r="N21" s="74">
        <f t="shared" si="4"/>
        <v>938</v>
      </c>
      <c r="O21" s="65"/>
      <c r="P21" s="65"/>
      <c r="Q21" s="74">
        <f t="shared" si="5"/>
        <v>938</v>
      </c>
      <c r="R21" s="74">
        <f t="shared" si="6"/>
        <v>42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141</v>
      </c>
      <c r="E22" s="189"/>
      <c r="F22" s="189"/>
      <c r="G22" s="74">
        <f t="shared" si="2"/>
        <v>141</v>
      </c>
      <c r="H22" s="65"/>
      <c r="I22" s="65"/>
      <c r="J22" s="74">
        <f t="shared" si="3"/>
        <v>141</v>
      </c>
      <c r="K22" s="65">
        <v>130</v>
      </c>
      <c r="L22" s="65">
        <v>2</v>
      </c>
      <c r="M22" s="65"/>
      <c r="N22" s="74">
        <f t="shared" si="4"/>
        <v>132</v>
      </c>
      <c r="O22" s="65"/>
      <c r="P22" s="65"/>
      <c r="Q22" s="74">
        <f t="shared" si="5"/>
        <v>132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1101</v>
      </c>
      <c r="E25" s="190">
        <f aca="true" t="shared" si="7" ref="E25:P25">SUM(E21:E24)</f>
        <v>22</v>
      </c>
      <c r="F25" s="190">
        <f t="shared" si="7"/>
        <v>0</v>
      </c>
      <c r="G25" s="67">
        <f t="shared" si="2"/>
        <v>1123</v>
      </c>
      <c r="H25" s="66">
        <f t="shared" si="7"/>
        <v>0</v>
      </c>
      <c r="I25" s="66">
        <f t="shared" si="7"/>
        <v>0</v>
      </c>
      <c r="J25" s="67">
        <f t="shared" si="3"/>
        <v>1123</v>
      </c>
      <c r="K25" s="66">
        <f t="shared" si="7"/>
        <v>1066</v>
      </c>
      <c r="L25" s="66">
        <f t="shared" si="7"/>
        <v>6</v>
      </c>
      <c r="M25" s="66">
        <f t="shared" si="7"/>
        <v>0</v>
      </c>
      <c r="N25" s="67">
        <f t="shared" si="4"/>
        <v>1072</v>
      </c>
      <c r="O25" s="66">
        <f t="shared" si="7"/>
        <v>0</v>
      </c>
      <c r="P25" s="66">
        <f t="shared" si="7"/>
        <v>0</v>
      </c>
      <c r="Q25" s="67">
        <f t="shared" si="5"/>
        <v>1072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856</v>
      </c>
      <c r="C27" s="380" t="s">
        <v>587</v>
      </c>
      <c r="D27" s="192">
        <f>SUM(D28:D31)</f>
        <v>11514</v>
      </c>
      <c r="E27" s="192">
        <f aca="true" t="shared" si="8" ref="E27:P27">SUM(E28:E31)</f>
        <v>2409</v>
      </c>
      <c r="F27" s="192">
        <f t="shared" si="8"/>
        <v>0</v>
      </c>
      <c r="G27" s="71">
        <f t="shared" si="2"/>
        <v>13923</v>
      </c>
      <c r="H27" s="70">
        <f t="shared" si="8"/>
        <v>0</v>
      </c>
      <c r="I27" s="70">
        <f t="shared" si="8"/>
        <v>0</v>
      </c>
      <c r="J27" s="71">
        <f t="shared" si="3"/>
        <v>13923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13923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11514</v>
      </c>
      <c r="E28" s="189">
        <v>2409</v>
      </c>
      <c r="F28" s="189"/>
      <c r="G28" s="74">
        <f t="shared" si="2"/>
        <v>13923</v>
      </c>
      <c r="H28" s="65"/>
      <c r="I28" s="65"/>
      <c r="J28" s="74">
        <f t="shared" si="3"/>
        <v>13923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13923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603</v>
      </c>
      <c r="D38" s="194">
        <f>D27+D32+D37</f>
        <v>11514</v>
      </c>
      <c r="E38" s="194">
        <f aca="true" t="shared" si="12" ref="E38:P38">E27+E32+E37</f>
        <v>2409</v>
      </c>
      <c r="F38" s="194">
        <f t="shared" si="12"/>
        <v>0</v>
      </c>
      <c r="G38" s="74">
        <f t="shared" si="2"/>
        <v>13923</v>
      </c>
      <c r="H38" s="75">
        <f t="shared" si="12"/>
        <v>0</v>
      </c>
      <c r="I38" s="75">
        <f t="shared" si="12"/>
        <v>0</v>
      </c>
      <c r="J38" s="74">
        <f t="shared" si="3"/>
        <v>13923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13923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102886</v>
      </c>
      <c r="E40" s="438">
        <f>E17+E18+E19+E25+E38+E39</f>
        <v>21975</v>
      </c>
      <c r="F40" s="438">
        <f aca="true" t="shared" si="13" ref="F40:R40">F17+F18+F19+F25+F38+F39</f>
        <v>11760</v>
      </c>
      <c r="G40" s="438">
        <f t="shared" si="13"/>
        <v>113101</v>
      </c>
      <c r="H40" s="438">
        <f t="shared" si="13"/>
        <v>0</v>
      </c>
      <c r="I40" s="438">
        <f t="shared" si="13"/>
        <v>0</v>
      </c>
      <c r="J40" s="438">
        <f t="shared" si="13"/>
        <v>113101</v>
      </c>
      <c r="K40" s="438">
        <f t="shared" si="13"/>
        <v>31395</v>
      </c>
      <c r="L40" s="438">
        <f t="shared" si="13"/>
        <v>3060</v>
      </c>
      <c r="M40" s="438">
        <f t="shared" si="13"/>
        <v>14</v>
      </c>
      <c r="N40" s="438">
        <f t="shared" si="13"/>
        <v>34441</v>
      </c>
      <c r="O40" s="438">
        <f t="shared" si="13"/>
        <v>0</v>
      </c>
      <c r="P40" s="438">
        <f t="shared" si="13"/>
        <v>0</v>
      </c>
      <c r="Q40" s="438">
        <f t="shared" si="13"/>
        <v>34441</v>
      </c>
      <c r="R40" s="438">
        <f t="shared" si="13"/>
        <v>78660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597" t="s">
        <v>785</v>
      </c>
      <c r="P44" s="598"/>
      <c r="Q44" s="598"/>
      <c r="R44" s="598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10">
      <selection activeCell="D108" sqref="D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09.2009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17030</v>
      </c>
      <c r="D11" s="119">
        <f>SUM(D12:D14)</f>
        <v>0</v>
      </c>
      <c r="E11" s="120">
        <f>SUM(E12:E14)</f>
        <v>17030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12400</v>
      </c>
      <c r="D12" s="108"/>
      <c r="E12" s="120">
        <f aca="true" t="shared" si="0" ref="E12:E42">C12-D12</f>
        <v>12400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4630</v>
      </c>
      <c r="D14" s="108"/>
      <c r="E14" s="120">
        <f t="shared" si="0"/>
        <v>4630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17030</v>
      </c>
      <c r="D19" s="104">
        <f>D11+D15+D16</f>
        <v>0</v>
      </c>
      <c r="E19" s="118">
        <f>E11+E15+E16</f>
        <v>17030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12859</v>
      </c>
      <c r="D24" s="119">
        <f>SUM(D25:D27)</f>
        <v>12859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316</v>
      </c>
      <c r="D25" s="108">
        <v>316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f>11006+29</f>
        <v>11035</v>
      </c>
      <c r="D26" s="108">
        <f>11006+29</f>
        <v>11035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1508</v>
      </c>
      <c r="D27" s="108">
        <v>1508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18600</v>
      </c>
      <c r="D28" s="108">
        <v>18600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376</v>
      </c>
      <c r="D29" s="108">
        <v>376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552</v>
      </c>
      <c r="D30" s="108">
        <v>552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2485</v>
      </c>
      <c r="D33" s="105">
        <f>SUM(D34:D37)</f>
        <v>2485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f>737</f>
        <v>737</v>
      </c>
      <c r="D34" s="108">
        <f>737</f>
        <v>737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1571</v>
      </c>
      <c r="D35" s="108">
        <v>1571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177</v>
      </c>
      <c r="D37" s="108">
        <v>177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654</v>
      </c>
      <c r="D38" s="105">
        <f>SUM(D39:D42)</f>
        <v>654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654</v>
      </c>
      <c r="D42" s="108">
        <v>654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35526</v>
      </c>
      <c r="D43" s="104">
        <f>D24+D28+D29+D31+D30+D32+D33+D38</f>
        <v>35526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52556</v>
      </c>
      <c r="D44" s="103">
        <f>D43+D21+D19+D9</f>
        <v>35526</v>
      </c>
      <c r="E44" s="118">
        <f>E43+E21+E19+E9</f>
        <v>17030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31861</v>
      </c>
      <c r="D56" s="103">
        <f>D57+D59</f>
        <v>0</v>
      </c>
      <c r="E56" s="119">
        <f t="shared" si="1"/>
        <v>31861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31861</v>
      </c>
      <c r="D57" s="108"/>
      <c r="E57" s="119">
        <f t="shared" si="1"/>
        <v>31861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1891</v>
      </c>
      <c r="D62" s="108"/>
      <c r="E62" s="119">
        <f t="shared" si="1"/>
        <v>1891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33752</v>
      </c>
      <c r="D66" s="103">
        <f>D52+D56+D61+D62+D63+D64</f>
        <v>0</v>
      </c>
      <c r="E66" s="119">
        <f t="shared" si="1"/>
        <v>33752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2172</v>
      </c>
      <c r="D68" s="108"/>
      <c r="E68" s="119">
        <f t="shared" si="1"/>
        <v>2172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5811</v>
      </c>
      <c r="D71" s="105">
        <f>SUM(D72:D74)</f>
        <v>5811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f>5811-160</f>
        <v>5651</v>
      </c>
      <c r="D72" s="108">
        <f>5811-160</f>
        <v>5651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160</v>
      </c>
      <c r="D73" s="108">
        <v>160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5867</v>
      </c>
      <c r="D75" s="103">
        <f>D76+D78</f>
        <v>5867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5867</v>
      </c>
      <c r="D76" s="108">
        <v>5867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14269</v>
      </c>
      <c r="D85" s="104">
        <f>SUM(D86:D90)+D94</f>
        <v>14269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13193</v>
      </c>
      <c r="D87" s="108">
        <v>13193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32</v>
      </c>
      <c r="D88" s="108">
        <v>32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631</v>
      </c>
      <c r="D89" s="108">
        <v>631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86</v>
      </c>
      <c r="D90" s="103">
        <f>SUM(D91:D93)</f>
        <v>86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86</v>
      </c>
      <c r="D93" s="108">
        <v>86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327</v>
      </c>
      <c r="D94" s="108">
        <v>327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753</v>
      </c>
      <c r="D95" s="108">
        <v>753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26700</v>
      </c>
      <c r="D96" s="104">
        <f>D85+D80+D75+D71+D95</f>
        <v>26700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62624</v>
      </c>
      <c r="D97" s="104">
        <f>D96+D68+D66</f>
        <v>26700</v>
      </c>
      <c r="E97" s="104">
        <f>E96+E68+E66</f>
        <v>35924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C20" sqref="C2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09.2009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13923273</v>
      </c>
      <c r="D19" s="98"/>
      <c r="E19" s="98"/>
      <c r="F19" s="98">
        <v>13923</v>
      </c>
      <c r="G19" s="98"/>
      <c r="H19" s="98"/>
      <c r="I19" s="434">
        <f t="shared" si="0"/>
        <v>13923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1025089</v>
      </c>
      <c r="D20" s="98"/>
      <c r="E20" s="98"/>
      <c r="F20" s="98">
        <v>1025</v>
      </c>
      <c r="G20" s="98"/>
      <c r="H20" s="98"/>
      <c r="I20" s="434">
        <f t="shared" si="0"/>
        <v>1025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14948362</v>
      </c>
      <c r="D26" s="85">
        <f t="shared" si="2"/>
        <v>0</v>
      </c>
      <c r="E26" s="85">
        <f t="shared" si="2"/>
        <v>0</v>
      </c>
      <c r="F26" s="85">
        <f t="shared" si="2"/>
        <v>14948</v>
      </c>
      <c r="G26" s="85">
        <f t="shared" si="2"/>
        <v>0</v>
      </c>
      <c r="H26" s="85">
        <f t="shared" si="2"/>
        <v>0</v>
      </c>
      <c r="I26" s="434">
        <f t="shared" si="0"/>
        <v>14948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C84" sqref="C8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09.2009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874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4533</v>
      </c>
      <c r="D27" s="429"/>
      <c r="E27" s="429">
        <f>SUM(E12:E26)</f>
        <v>0</v>
      </c>
      <c r="F27" s="442">
        <f>SUM(F12:F26)</f>
        <v>4533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4533</v>
      </c>
      <c r="D79" s="429"/>
      <c r="E79" s="429">
        <f>E78+E61+E44+E27</f>
        <v>0</v>
      </c>
      <c r="F79" s="442">
        <f>F78+F61+F44+F27</f>
        <v>4533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870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871</v>
      </c>
      <c r="B83" s="40"/>
      <c r="C83" s="441">
        <v>4909</v>
      </c>
      <c r="D83" s="441">
        <v>100</v>
      </c>
      <c r="E83" s="441"/>
      <c r="F83" s="443">
        <f aca="true" t="shared" si="4" ref="F83:F96">C83-E83</f>
        <v>4909</v>
      </c>
    </row>
    <row r="84" spans="1:6" ht="12.75">
      <c r="A84" s="36" t="s">
        <v>875</v>
      </c>
      <c r="B84" s="40"/>
      <c r="C84" s="441">
        <v>12</v>
      </c>
      <c r="D84" s="441">
        <v>52</v>
      </c>
      <c r="E84" s="441"/>
      <c r="F84" s="443">
        <f t="shared" si="4"/>
        <v>12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9390</v>
      </c>
      <c r="D97" s="429"/>
      <c r="E97" s="429">
        <f>SUM(E82:E96)</f>
        <v>0</v>
      </c>
      <c r="F97" s="442">
        <f>SUM(F82:F96)</f>
        <v>9390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9390</v>
      </c>
      <c r="D149" s="429"/>
      <c r="E149" s="429">
        <f>E148+E131+E114+E97</f>
        <v>0</v>
      </c>
      <c r="F149" s="442">
        <f>F148+F131+F114+F97</f>
        <v>9390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851</v>
      </c>
      <c r="B151" s="453"/>
      <c r="C151" s="630" t="s">
        <v>852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860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2009-10-29T08:28:34Z</cp:lastPrinted>
  <dcterms:created xsi:type="dcterms:W3CDTF">2000-06-29T12:02:40Z</dcterms:created>
  <dcterms:modified xsi:type="dcterms:W3CDTF">2009-10-30T15:38:47Z</dcterms:modified>
  <cp:category/>
  <cp:version/>
  <cp:contentType/>
  <cp:contentStatus/>
</cp:coreProperties>
</file>