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8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'Начална'!$A$1:$B$28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<sst xmlns="http://schemas.openxmlformats.org/spreadsheetml/2006/main" count="4320" uniqueCount="1002">
  <si>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</si>
  <si>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</si>
  <si>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</si>
  <si>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</si>
  <si>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</si>
  <si>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</si>
  <si>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</si>
  <si>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</si>
  <si>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</si>
  <si>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</si>
  <si>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</si>
  <si>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</si>
  <si>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</si>
  <si>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</si>
  <si>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</si>
  <si>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</si>
  <si>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</si>
  <si>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</si>
  <si>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</si>
  <si>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</si>
  <si>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</si>
  <si>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</si>
  <si>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</si>
  <si>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</si>
  <si>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</si>
  <si>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</si>
  <si>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</si>
  <si>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</si>
  <si>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</si>
  <si>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</si>
  <si>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</si>
  <si>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</si>
  <si>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</si>
  <si>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</si>
  <si>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</si>
  <si>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</si>
  <si>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</si>
  <si>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</si>
  <si>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</si>
  <si>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</si>
  <si>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</si>
  <si>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</si>
  <si>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</si>
  <si>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</si>
  <si>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</si>
  <si>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</si>
  <si>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</si>
  <si>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</si>
  <si>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</si>
  <si>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</si>
  <si>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</si>
  <si>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</si>
  <si>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</si>
  <si>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</si>
  <si>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</si>
  <si>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</si>
  <si>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</si>
  <si>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</si>
  <si>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</si>
  <si>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</si>
  <si>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</si>
  <si>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</si>
  <si>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</si>
  <si>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</si>
  <si>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</si>
  <si>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</si>
  <si>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</si>
  <si>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</si>
  <si>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</si>
  <si>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</si>
  <si>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</si>
  <si>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</si>
  <si>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</si>
  <si>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</si>
  <si>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</si>
  <si>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</si>
  <si>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</si>
  <si>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</si>
  <si>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</si>
  <si>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</si>
  <si>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</si>
  <si>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</si>
  <si>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</si>
  <si>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</si>
  <si>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</si>
  <si>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</si>
  <si>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</si>
  <si>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</si>
  <si>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</si>
  <si>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</si>
  <si>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</si>
  <si>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</si>
  <si>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</si>
  <si>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</si>
  <si>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</si>
  <si>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</si>
  <si>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</si>
  <si>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</si>
  <si>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</si>
  <si>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</si>
  <si>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</si>
  <si>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</si>
  <si>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</si>
  <si>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</si>
  <si>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</si>
  <si>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</si>
  <si>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</si>
  <si>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</si>
  <si>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</si>
  <si>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</si>
  <si>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</si>
  <si>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</si>
  <si>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</si>
  <si>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</si>
  <si>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</si>
  <si>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</si>
  <si>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</si>
  <si>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</si>
  <si>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</si>
  <si>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</si>
  <si>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</si>
  <si>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</si>
  <si>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</si>
  <si>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</si>
  <si>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</si>
  <si>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</si>
  <si>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</si>
  <si>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</si>
  <si>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</si>
  <si>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</si>
  <si>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</si>
  <si>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</si>
  <si>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</si>
  <si>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</si>
  <si>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</si>
  <si>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</si>
  <si>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</si>
  <si>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</si>
  <si>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</si>
  <si>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</si>
  <si>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</si>
  <si>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</si>
  <si>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</si>
  <si>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</si>
  <si>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</si>
  <si>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</si>
  <si>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</si>
  <si>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</si>
  <si>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</si>
  <si>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</si>
  <si>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</si>
  <si>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</si>
  <si>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</si>
  <si>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</si>
  <si>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</si>
  <si>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</si>
  <si>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</si>
  <si>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</si>
  <si>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</si>
  <si>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</si>
  <si>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</si>
  <si>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</si>
  <si>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</si>
  <si>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</si>
  <si>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</si>
  <si>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</si>
  <si>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</si>
  <si>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</si>
  <si>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</si>
  <si>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</si>
  <si>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</si>
  <si>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</si>
  <si>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</si>
  <si>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</si>
  <si>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</si>
  <si>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</si>
  <si>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</si>
  <si>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</si>
  <si>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</si>
  <si>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</si>
  <si>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</si>
  <si>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</si>
  <si>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</si>
  <si>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</si>
  <si>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</si>
  <si>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</si>
  <si>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</si>
  <si>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</si>
  <si>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</si>
  <si>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</si>
  <si>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</si>
  <si>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</si>
  <si>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</si>
  <si>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</si>
  <si>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</si>
  <si>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</si>
  <si>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</si>
  <si>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</si>
  <si>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</si>
  <si>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</si>
  <si>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</si>
  <si>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</si>
  <si>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</si>
  <si>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</si>
  <si>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</si>
  <si>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</si>
  <si>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</si>
  <si>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</si>
  <si>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</si>
  <si>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</si>
  <si>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</si>
  <si>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</si>
  <si>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</si>
  <si>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</si>
  <si>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</si>
  <si>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</si>
  <si>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</si>
  <si>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</si>
  <si>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</si>
  <si>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</si>
  <si>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</si>
  <si>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</si>
  <si>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</si>
  <si>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</si>
  <si>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</si>
  <si>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</si>
  <si>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</si>
  <si>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</si>
  <si>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</si>
  <si>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</si>
  <si>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</si>
  <si>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</si>
  <si>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</si>
  <si>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</si>
  <si>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</si>
  <si>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</si>
  <si>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</si>
  <si>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</si>
  <si>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</si>
  <si>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</si>
  <si>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</si>
  <si>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</si>
  <si>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</si>
  <si>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</si>
  <si>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</si>
  <si>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</si>
  <si>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</si>
  <si>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</si>
  <si>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</si>
  <si>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</si>
  <si>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</si>
  <si>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</si>
  <si>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</si>
  <si>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</si>
  <si>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</si>
  <si>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</si>
  <si>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</si>
  <si>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</si>
  <si>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</si>
  <si>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</si>
  <si>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</si>
  <si>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</si>
  <si>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</si>
  <si>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</si>
  <si>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</si>
  <si>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</si>
  <si>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</si>
  <si>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</si>
  <si>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</si>
  <si>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</si>
  <si>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</si>
  <si>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</si>
  <si>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</si>
  <si>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</si>
  <si>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</si>
  <si>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</si>
  <si>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</si>
  <si>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</si>
  <si>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</si>
  <si>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</si>
  <si>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</si>
  <si>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</si>
  <si>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</si>
  <si>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</si>
  <si>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</si>
  <si>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</si>
  <si>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</si>
  <si>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</si>
  <si>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</si>
  <si>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</si>
  <si>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</si>
  <si>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</si>
  <si>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</si>
  <si>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</si>
  <si>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</si>
  <si>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</si>
  <si>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</si>
  <si>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</si>
  <si>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</si>
  <si>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</si>
  <si>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</si>
  <si>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</si>
  <si>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</si>
  <si>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</si>
  <si>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</si>
  <si>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</si>
  <si>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</si>
  <si>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</si>
  <si>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</si>
  <si>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</si>
  <si>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</si>
  <si>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</si>
  <si>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</si>
  <si>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</si>
  <si>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</si>
  <si>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</si>
  <si>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</si>
  <si>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</si>
  <si>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</si>
  <si>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</si>
  <si>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</si>
  <si>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</si>
  <si>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</si>
  <si>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</si>
  <si>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</si>
  <si>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</si>
  <si>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</si>
  <si>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</si>
  <si>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</si>
  <si>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</si>
  <si>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</si>
  <si>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</si>
  <si>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</si>
  <si>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</si>
  <si>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</si>
  <si>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</si>
  <si>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</si>
  <si>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</si>
  <si>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</si>
  <si>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</si>
  <si>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</si>
  <si>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</si>
  <si>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</si>
  <si>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</si>
  <si>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</si>
  <si>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</si>
  <si>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</si>
  <si>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</si>
  <si>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</si>
  <si>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</si>
  <si>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</si>
  <si>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</si>
  <si>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</si>
  <si>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</si>
  <si>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</si>
  <si>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</si>
  <si>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</si>
  <si>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</si>
  <si>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</si>
  <si>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</si>
  <si>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</si>
  <si>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</si>
  <si>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</si>
  <si>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</si>
  <si>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</si>
  <si>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</si>
  <si>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</si>
  <si>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</si>
  <si>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</si>
  <si>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</si>
  <si>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</si>
  <si>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</si>
  <si>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</si>
  <si>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</si>
  <si>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</si>
  <si>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</si>
  <si>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</si>
  <si>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</si>
  <si>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</si>
  <si>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</si>
  <si>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</si>
  <si>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</si>
  <si>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</si>
  <si>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</si>
  <si>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</si>
  <si>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</si>
  <si>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</si>
  <si>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</si>
  <si>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</si>
  <si>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</si>
  <si>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</si>
  <si>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</si>
  <si>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</si>
  <si>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</si>
  <si>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</si>
  <si>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</si>
  <si>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</si>
  <si>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</si>
  <si>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</si>
  <si>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</si>
  <si>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</si>
  <si>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</si>
  <si>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</si>
  <si>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</si>
  <si>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</si>
  <si>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</si>
  <si>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</si>
  <si>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</si>
  <si>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</si>
  <si>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</si>
  <si>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</si>
  <si>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</si>
  <si>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</si>
  <si>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</si>
  <si>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</si>
  <si>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</si>
  <si>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</si>
  <si>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</si>
  <si>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</si>
  <si>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</si>
  <si>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</si>
  <si>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</si>
  <si>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</si>
  <si>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</si>
  <si>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</si>
  <si>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</si>
  <si>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</si>
  <si>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</si>
  <si>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</si>
  <si>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</si>
  <si>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</si>
  <si>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</si>
  <si>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</si>
  <si>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</si>
  <si>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</si>
  <si>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</si>
  <si>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</si>
  <si>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</si>
  <si>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</si>
  <si>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</si>
  <si>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</si>
  <si>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</si>
  <si>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</si>
  <si>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</si>
  <si>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</si>
  <si>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</si>
  <si>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</si>
  <si>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</si>
  <si>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</si>
  <si>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</si>
  <si>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</si>
  <si>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</si>
  <si>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</si>
  <si>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</si>
  <si>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</si>
  <si>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</si>
  <si>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</si>
  <si>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</si>
  <si>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</si>
  <si>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</si>
  <si>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</si>
  <si>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</si>
  <si>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</si>
  <si>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</si>
  <si>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</si>
  <si>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</si>
  <si>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</si>
  <si>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</si>
  <si>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</si>
  <si>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</si>
  <si>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</si>
  <si>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</si>
  <si>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</si>
  <si>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</si>
  <si>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</si>
  <si>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</si>
  <si>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</si>
  <si>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</si>
  <si>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</si>
  <si>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</si>
  <si>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</si>
  <si>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</si>
  <si>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</si>
  <si>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</si>
  <si>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</si>
  <si>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</si>
  <si>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</si>
  <si>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</si>
  <si>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</si>
  <si>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</si>
  <si>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</si>
  <si>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</si>
  <si>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</si>
  <si>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</si>
  <si>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</si>
  <si>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</si>
  <si>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</si>
  <si>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</si>
  <si>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</si>
  <si>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</si>
  <si>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</si>
  <si>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</si>
  <si>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</si>
  <si>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</si>
  <si>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</si>
  <si>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</si>
  <si>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</si>
  <si>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</si>
  <si>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</si>
  <si>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</si>
  <si>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</si>
  <si>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</si>
  <si>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</si>
  <si>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</si>
  <si>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</si>
  <si>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</si>
  <si>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</si>
  <si>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</si>
  <si>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</si>
  <si>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</si>
  <si>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</si>
  <si>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</si>
  <si>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</si>
  <si>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</si>
  <si>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</si>
  <si>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</si>
  <si>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</si>
  <si>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</si>
  <si>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</si>
  <si>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</si>
  <si>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</si>
  <si>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</si>
  <si>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</si>
  <si>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</si>
  <si>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</si>
  <si>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</si>
  <si>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</si>
  <si>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</si>
  <si>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</si>
  <si>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</si>
  <si>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</si>
  <si>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</si>
  <si>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</si>
  <si>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</si>
  <si>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</si>
  <si>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</si>
  <si>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</si>
  <si>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</si>
  <si>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</si>
  <si>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</si>
  <si>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</si>
  <si>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</si>
  <si>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</si>
  <si>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</si>
  <si>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</si>
  <si>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</si>
  <si>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</si>
  <si>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</si>
  <si>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</si>
  <si>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</si>
  <si>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</si>
  <si>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</si>
  <si>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</si>
  <si>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</si>
  <si>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</si>
  <si>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</si>
  <si>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</si>
  <si>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</si>
  <si>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</si>
  <si>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</si>
  <si>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</si>
  <si>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</si>
  <si>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</si>
  <si>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</si>
  <si>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</si>
  <si>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</si>
  <si>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</si>
  <si>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</si>
  <si>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</si>
  <si>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</si>
  <si>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</si>
  <si>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</si>
  <si>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</si>
  <si>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</si>
  <si>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</si>
  <si>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</si>
  <si>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</si>
  <si>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</si>
  <si>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</si>
  <si>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</si>
  <si>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</si>
  <si>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</si>
  <si>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</si>
  <si>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</si>
  <si>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</si>
  <si>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</si>
  <si>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</si>
  <si>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</si>
  <si>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</si>
  <si>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</si>
  <si>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</si>
  <si>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</si>
  <si>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</si>
  <si>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</si>
  <si>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</si>
  <si>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</si>
  <si>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</si>
  <si>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</si>
  <si>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</si>
  <si>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</si>
  <si>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</si>
  <si>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</si>
  <si>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</si>
  <si>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</si>
  <si>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</si>
  <si>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</si>
  <si>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</si>
  <si>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</si>
  <si>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</si>
  <si>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</si>
  <si>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</si>
  <si>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</si>
  <si>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</si>
  <si>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</si>
  <si>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</si>
  <si>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</si>
  <si>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</si>
  <si>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</si>
  <si>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</si>
  <si>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</si>
  <si>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</si>
  <si>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</si>
  <si>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</si>
  <si>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</si>
  <si>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</si>
  <si>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</si>
  <si>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</si>
  <si>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</si>
  <si>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</si>
  <si>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</si>
  <si>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</si>
  <si>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</si>
  <si>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</si>
  <si>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</si>
  <si>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</si>
  <si>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</si>
  <si>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</si>
  <si>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</si>
  <si>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</si>
  <si>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</si>
  <si>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</si>
  <si>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</si>
  <si>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</si>
  <si>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</si>
  <si>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</si>
  <si>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</si>
  <si>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</si>
  <si>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</si>
  <si>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</si>
  <si>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</si>
  <si>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</si>
  <si>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</si>
  <si>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</si>
  <si>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</si>
  <si>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</si>
  <si>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</si>
  <si>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</si>
  <si>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</si>
  <si>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</si>
  <si>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</si>
  <si>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</si>
  <si>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</si>
  <si>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</si>
  <si>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</si>
  <si>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</si>
  <si>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</si>
  <si>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</si>
  <si>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</si>
  <si>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</si>
  <si>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</si>
  <si>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</si>
  <si>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</si>
  <si>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</si>
  <si>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</si>
  <si>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</si>
  <si>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</si>
  <si>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</si>
  <si>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</si>
  <si>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</si>
  <si>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</si>
  <si>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</si>
  <si>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</si>
  <si>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</si>
  <si>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</si>
  <si>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</si>
  <si>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</si>
  <si>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</si>
  <si>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</si>
  <si>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</si>
  <si>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</si>
  <si>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</si>
  <si>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</si>
  <si>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</si>
  <si>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</si>
  <si>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</si>
  <si>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</si>
  <si>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</si>
  <si>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</si>
  <si>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</si>
  <si>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</si>
  <si>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</si>
  <si>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</si>
  <si>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</si>
  <si>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</si>
  <si>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</si>
  <si>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</si>
  <si>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</si>
  <si>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</si>
  <si>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</si>
  <si>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</si>
  <si>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</si>
  <si>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</si>
  <si>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</si>
  <si>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</si>
  <si>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</si>
  <si>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</si>
  <si>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</si>
  <si>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</si>
  <si>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</si>
  <si>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</si>
  <si>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</si>
  <si>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</si>
  <si>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</si>
  <si>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</si>
  <si>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</si>
  <si>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</si>
  <si>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</si>
  <si>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</si>
  <si>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</si>
  <si>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</si>
  <si>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</si>
  <si>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</si>
  <si>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</si>
  <si>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</si>
  <si>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</si>
  <si>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</si>
  <si>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</si>
  <si>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</si>
  <si>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</si>
  <si>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</si>
  <si>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</si>
  <si>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</si>
  <si>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</si>
  <si>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</si>
  <si>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</si>
  <si>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</si>
  <si>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</si>
  <si>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</si>
  <si>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</si>
  <si>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</si>
  <si>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</si>
  <si>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</si>
  <si>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</si>
  <si>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</si>
  <si>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</si>
  <si>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</si>
  <si>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</si>
  <si>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</si>
  <si>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</si>
  <si>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</si>
  <si>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</si>
  <si>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</si>
  <si>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</si>
  <si>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</si>
  <si>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</si>
  <si>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</si>
  <si>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</si>
  <si>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</si>
  <si>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</si>
  <si>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</si>
  <si>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</si>
  <si>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</si>
  <si>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</si>
  <si>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</si>
  <si>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</si>
  <si>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</si>
  <si>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</si>
  <si>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</si>
  <si>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</si>
  <si>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</si>
  <si>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</si>
  <si>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</si>
  <si>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</si>
  <si>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</si>
  <si>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</si>
  <si>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</si>
  <si>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</si>
  <si>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</si>
  <si>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</si>
  <si>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</si>
  <si>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</si>
  <si>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</si>
  <si>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</si>
  <si>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</si>
  <si>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</si>
  <si>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</si>
  <si>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</si>
  <si>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</si>
  <si>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</si>
  <si>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</si>
  <si>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</si>
  <si>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</si>
  <si>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</si>
  <si>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</si>
  <si>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</si>
  <si>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</si>
  <si>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</si>
  <si>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</si>
  <si>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</si>
  <si>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</si>
  <si>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</si>
  <si>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</si>
  <si>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</si>
  <si>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</si>
  <si>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</si>
  <si>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</si>
  <si>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</si>
  <si>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</si>
  <si>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</si>
  <si>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</si>
  <si>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</si>
  <si>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</si>
  <si>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</si>
  <si>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</si>
  <si>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</si>
  <si>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</si>
  <si>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</si>
  <si>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</si>
  <si>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</si>
  <si>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</si>
  <si>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</si>
  <si>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</si>
  <si>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</si>
  <si>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</si>
  <si>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</si>
  <si>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</si>
  <si>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</si>
  <si>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</si>
  <si>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</si>
  <si>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</si>
  <si>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</si>
  <si>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</si>
  <si>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</si>
  <si>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</si>
  <si>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</si>
  <si>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</si>
  <si>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</si>
  <si>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</si>
  <si>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</si>
  <si>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</si>
  <si>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</si>
  <si>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</si>
  <si>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</si>
  <si>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</si>
  <si>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</si>
  <si>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</si>
  <si>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</si>
  <si>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</si>
  <si>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</si>
  <si>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</si>
  <si>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</si>
  <si>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</si>
  <si>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</si>
  <si>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</si>
  <si>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</si>
  <si>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</si>
  <si>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</si>
  <si>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</si>
  <si>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</si>
  <si>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</si>
  <si>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</si>
  <si>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</si>
  <si>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</si>
  <si>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</si>
  <si>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</si>
  <si>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</si>
  <si>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</si>
  <si>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</si>
  <si>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</si>
  <si>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</si>
  <si>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</si>
  <si>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</si>
  <si>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</si>
  <si>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</si>
  <si>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</si>
  <si>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</si>
  <si>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</si>
  <si>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</si>
  <si>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</si>
  <si>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</si>
  <si>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</si>
  <si>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</si>
  <si>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</si>
  <si>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</si>
  <si>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</si>
  <si>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</si>
  <si>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</si>
  <si>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</si>
  <si>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</si>
  <si>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</si>
  <si>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</si>
  <si>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</si>
  <si>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</si>
  <si>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</si>
  <si>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</si>
  <si>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</si>
  <si>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</si>
  <si>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</si>
  <si>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</si>
  <si>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</si>
  <si>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</si>
  <si>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</si>
  <si>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</si>
  <si>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</si>
  <si>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</si>
  <si>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</si>
  <si>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</si>
  <si>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</si>
  <si>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</si>
  <si>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</si>
  <si>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</si>
  <si>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</si>
  <si>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</si>
  <si>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</si>
  <si>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</si>
  <si>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</si>
  <si>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</si>
  <si>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</si>
  <si>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</si>
  <si>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</si>
  <si>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</si>
  <si>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</si>
  <si>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</si>
  <si>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</si>
  <si>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</si>
  <si>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</si>
  <si>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</si>
  <si>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</si>
  <si>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</si>
  <si>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</si>
  <si>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</si>
  <si>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</si>
  <si>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</si>
  <si>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</si>
  <si>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</si>
  <si>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</si>
  <si>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</si>
  <si>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</si>
  <si>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</si>
  <si>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</si>
  <si>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</si>
  <si>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</si>
  <si>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</si>
  <si>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</si>
  <si>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</si>
  <si>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</si>
  <si>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</si>
  <si>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</si>
  <si>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</si>
  <si>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</si>
  <si>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</si>
  <si>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</si>
  <si>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</si>
  <si>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</si>
  <si>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</si>
  <si>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</si>
  <si>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</si>
  <si>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</si>
  <si>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</si>
  <si>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</si>
  <si>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</si>
  <si>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</si>
  <si>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</si>
  <si>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</si>
  <si>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</si>
  <si>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</si>
  <si>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</si>
  <si>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</si>
  <si>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</si>
  <si>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БУЛГАР ЧЕХ ИНВЕСТ ХОЛДИНГ АД</t>
  </si>
  <si>
    <t>120054800</t>
  </si>
  <si>
    <t xml:space="preserve">ВАЛЕНТИН МЕТОДИЕВ ГЕОРГИЕВ </t>
  </si>
  <si>
    <t>ИЗПЪЛНИТЕЛЕН ДИРЕКТОР</t>
  </si>
  <si>
    <t>ГР. ПЛОВДИВ, УЛ. БЕЛГРАД № 2, ЕТ. 2</t>
  </si>
  <si>
    <t>office@bcihsm.com</t>
  </si>
  <si>
    <t>http://bcihsm.com</t>
  </si>
  <si>
    <t>АРСЕНИЯ БАШЕВА</t>
  </si>
  <si>
    <t>СЧЕТОВОДИТЕЛ</t>
  </si>
  <si>
    <t>1 Инвестиционни бонове - собствени</t>
  </si>
  <si>
    <t>ВАЛЕНТИН ГЕОРГИЕВ</t>
  </si>
  <si>
    <t>https://www.investor.bg/</t>
  </si>
  <si>
    <t>+359884322083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</si>
</sst>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7">
      <selection activeCell="A28" sqref="A28:B28"/>
    </sheetView>
  </sheetViews>
  <sheetFormatPr defaultColWidth="9.140625" defaultRowHeight="15"/>
  <cols>
    <col min="1" max="1" width="30.57421875" style="688" customWidth="1"/>
    <col min="2" max="2" width="65.574218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43872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АРСЕНИЯ БАШЕВА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43872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1001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0" t="s">
        <v>1000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25566</v>
      </c>
      <c r="D6" s="675">
        <f aca="true" t="shared" si="0" ref="D6:D15">C6-E6</f>
        <v>0</v>
      </c>
      <c r="E6" s="674">
        <f>'1-Баланс'!G95</f>
        <v>25566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3777</v>
      </c>
      <c r="D7" s="675">
        <f t="shared" si="0"/>
        <v>2586</v>
      </c>
      <c r="E7" s="674">
        <f>'1-Баланс'!G18</f>
        <v>1191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2338</v>
      </c>
      <c r="D8" s="675">
        <f t="shared" si="0"/>
        <v>0</v>
      </c>
      <c r="E8" s="674">
        <f>ABS('2-Отчет за доходите'!C44)-ABS('2-Отчет за доходите'!G44)</f>
        <v>2338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132</v>
      </c>
      <c r="D9" s="675">
        <f t="shared" si="0"/>
        <v>0</v>
      </c>
      <c r="E9" s="674">
        <f>'3-Отчет за паричния поток'!C45</f>
        <v>132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499</v>
      </c>
      <c r="D10" s="675">
        <f t="shared" si="0"/>
        <v>0</v>
      </c>
      <c r="E10" s="674">
        <f>'3-Отчет за паричния поток'!C46</f>
        <v>499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3777</v>
      </c>
      <c r="D11" s="675">
        <f t="shared" si="0"/>
        <v>0</v>
      </c>
      <c r="E11" s="674">
        <f>'4-Отчет за собствения капитал'!L34</f>
        <v>3777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0</v>
      </c>
      <c r="E15" s="674">
        <f>'Справка 5'!C148+'Справка 5'!C78</f>
        <v>8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0.6190097961344982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0.10730184955711597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0.09144958147539702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3.466286799620133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93.11678832116789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93.11678832116789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73.32481751824818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1.8211678832116789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0.850664241657441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5.768864177918983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0.8522647265900024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2609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0.6907598623245962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0.7150684931506849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8.348275862068965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22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22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1500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3923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5423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19592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19592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499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499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25514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25566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1191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168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198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2338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2506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3777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21514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21514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21515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262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258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274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274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25566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80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947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965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1053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2597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1053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2597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259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258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2338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2338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3650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3632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3650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3650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3650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3650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-1581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-1588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107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-19740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3583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-3617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-19667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21713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-89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21622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367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132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499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499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198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198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2338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2536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2536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1439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1439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2338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3777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3777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22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36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2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60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934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934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8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942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1002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934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934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934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934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22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36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2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60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8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8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68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22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36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2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60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8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8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68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13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2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15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15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14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2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16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16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14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2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16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16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22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22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44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8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8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52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1500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1500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3923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5423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5423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1500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1500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3923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5423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5423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21514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12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262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258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258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274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21789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12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262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258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258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274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274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21514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21514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21515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8557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8557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4424137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1105132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5529269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8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8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18041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1535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19576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26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4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30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2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12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14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8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8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18065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1527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19592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8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8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8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8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59">
      <selection activeCell="B102" sqref="B102:H105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22</v>
      </c>
      <c r="D12" s="196">
        <v>22</v>
      </c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>
        <v>22</v>
      </c>
      <c r="D13" s="196">
        <v>23</v>
      </c>
      <c r="E13" s="89" t="s">
        <v>846</v>
      </c>
      <c r="F13" s="93" t="s">
        <v>29</v>
      </c>
      <c r="G13" s="197">
        <v>1191</v>
      </c>
      <c r="H13" s="196">
        <v>1191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</v>
      </c>
      <c r="D20" s="598">
        <f>SUM(D12:D19)</f>
        <v>45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80</v>
      </c>
      <c r="H23" s="196">
        <v>80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168</v>
      </c>
      <c r="H28" s="596">
        <f>SUM(H29:H31)</f>
        <v>159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198</v>
      </c>
      <c r="H29" s="196">
        <v>189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6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2338</v>
      </c>
      <c r="H32" s="196">
        <v>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2506</v>
      </c>
      <c r="H34" s="598">
        <f>H28+H32+H33</f>
        <v>168</v>
      </c>
    </row>
    <row r="35" spans="1:8" ht="15.75">
      <c r="A35" s="89" t="s">
        <v>106</v>
      </c>
      <c r="B35" s="94" t="s">
        <v>107</v>
      </c>
      <c r="C35" s="595">
        <f>SUM(C36:C39)</f>
        <v>8</v>
      </c>
      <c r="D35" s="596">
        <f>SUM(D36:D39)</f>
        <v>941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>
        <v>933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3777</v>
      </c>
      <c r="H37" s="600">
        <f>H26+H18+H34</f>
        <v>1439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</v>
      </c>
      <c r="D46" s="598">
        <f>D35+D40+D45</f>
        <v>941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>
        <v>243</v>
      </c>
      <c r="E48" s="201" t="s">
        <v>146</v>
      </c>
      <c r="F48" s="93" t="s">
        <v>147</v>
      </c>
      <c r="G48" s="197">
        <v>21514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21514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243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</v>
      </c>
      <c r="H54" s="196"/>
    </row>
    <row r="55" spans="1:8" ht="15.75">
      <c r="A55" s="100" t="s">
        <v>166</v>
      </c>
      <c r="B55" s="96" t="s">
        <v>167</v>
      </c>
      <c r="C55" s="478"/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52</v>
      </c>
      <c r="D56" s="602">
        <f>D20+D21+D22+D28+D33+D46+D52+D54+D55</f>
        <v>1230</v>
      </c>
      <c r="E56" s="100" t="s">
        <v>850</v>
      </c>
      <c r="F56" s="99" t="s">
        <v>172</v>
      </c>
      <c r="G56" s="599">
        <f>G50+G52+G53+G54+G55</f>
        <v>21515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262</v>
      </c>
      <c r="H61" s="596">
        <f>SUM(H62:H68)</f>
        <v>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</v>
      </c>
      <c r="H64" s="196">
        <v>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1500</v>
      </c>
      <c r="D68" s="196">
        <v>1</v>
      </c>
      <c r="E68" s="89" t="s">
        <v>212</v>
      </c>
      <c r="F68" s="93" t="s">
        <v>213</v>
      </c>
      <c r="G68" s="197">
        <v>258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173+3750</f>
        <v>3923</v>
      </c>
      <c r="D71" s="196"/>
      <c r="E71" s="474" t="s">
        <v>47</v>
      </c>
      <c r="F71" s="95" t="s">
        <v>223</v>
      </c>
      <c r="G71" s="597">
        <f>G59+G60+G61+G69+G70</f>
        <v>274</v>
      </c>
      <c r="H71" s="598">
        <f>H59+H60+H61+H69+H70</f>
        <v>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5423</v>
      </c>
      <c r="D76" s="598">
        <f>SUM(D68:D75)</f>
        <v>94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274</v>
      </c>
      <c r="H79" s="600">
        <f>H71+H73+H75+H77</f>
        <v>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19592</v>
      </c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19592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499</v>
      </c>
      <c r="D89" s="196">
        <v>123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499</v>
      </c>
      <c r="D92" s="598">
        <f>SUM(D88:D91)</f>
        <v>132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25514</v>
      </c>
      <c r="D94" s="602">
        <f>D65+D76+D85+D92+D93</f>
        <v>226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25566</v>
      </c>
      <c r="D95" s="604">
        <f>D94+D56</f>
        <v>1456</v>
      </c>
      <c r="E95" s="229" t="s">
        <v>942</v>
      </c>
      <c r="F95" s="489" t="s">
        <v>268</v>
      </c>
      <c r="G95" s="603">
        <f>G37+G40+G56+G79</f>
        <v>25566</v>
      </c>
      <c r="H95" s="604">
        <f>H37+H40+H56+H79</f>
        <v>1456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43872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АРСЕНИЯ БАШЕВА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999</v>
      </c>
      <c r="C103" s="700"/>
      <c r="D103" s="700"/>
      <c r="E103" s="700"/>
      <c r="M103" s="98"/>
    </row>
    <row r="104" spans="1:5" ht="21.75" customHeight="1">
      <c r="A104" s="695"/>
      <c r="B104" s="700" t="s">
        <v>9</v>
      </c>
      <c r="C104" s="700"/>
      <c r="D104" s="700"/>
      <c r="E104" s="700"/>
    </row>
    <row r="105" spans="1:13" ht="21.75" customHeight="1">
      <c r="A105" s="695"/>
      <c r="B105" s="700" t="s">
        <v>9</v>
      </c>
      <c r="C105" s="700"/>
      <c r="D105" s="700"/>
      <c r="E105" s="700"/>
      <c r="M105" s="98"/>
    </row>
    <row r="106" spans="1:5" ht="21.75" customHeight="1">
      <c r="A106" s="695"/>
      <c r="B106" s="700" t="s">
        <v>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7">
      <selection activeCell="B55" sqref="B55:E55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80</v>
      </c>
      <c r="D13" s="317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>
        <v>1</v>
      </c>
    </row>
    <row r="15" spans="1:8" ht="15.75">
      <c r="A15" s="194" t="s">
        <v>287</v>
      </c>
      <c r="B15" s="190" t="s">
        <v>288</v>
      </c>
      <c r="C15" s="316">
        <v>6</v>
      </c>
      <c r="D15" s="317">
        <v>6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</v>
      </c>
      <c r="D22" s="629">
        <f>SUM(D12:D18)+D19</f>
        <v>21</v>
      </c>
      <c r="E22" s="194" t="s">
        <v>309</v>
      </c>
      <c r="F22" s="237" t="s">
        <v>310</v>
      </c>
      <c r="G22" s="316">
        <v>18</v>
      </c>
      <c r="H22" s="317">
        <v>15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3632</v>
      </c>
      <c r="H24" s="317">
        <v>64</v>
      </c>
    </row>
    <row r="25" spans="1:8" ht="31.5">
      <c r="A25" s="194" t="s">
        <v>316</v>
      </c>
      <c r="B25" s="237" t="s">
        <v>317</v>
      </c>
      <c r="C25" s="316">
        <v>12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947</v>
      </c>
      <c r="D26" s="317">
        <v>47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3650</v>
      </c>
      <c r="H27" s="629">
        <f>SUM(H22:H26)</f>
        <v>79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965</v>
      </c>
      <c r="D29" s="629">
        <f>SUM(D25:D28)</f>
        <v>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1053</v>
      </c>
      <c r="D31" s="635">
        <f>D29+D22</f>
        <v>69</v>
      </c>
      <c r="E31" s="251" t="s">
        <v>824</v>
      </c>
      <c r="F31" s="266" t="s">
        <v>331</v>
      </c>
      <c r="G31" s="253">
        <f>G16+G18+G27</f>
        <v>3650</v>
      </c>
      <c r="H31" s="254">
        <f>H16+H18+H27</f>
        <v>81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2597</v>
      </c>
      <c r="D33" s="244">
        <f>IF((H31-D31)&gt;0,H31-D31,0)</f>
        <v>12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1053</v>
      </c>
      <c r="D36" s="637">
        <f>D31-D34+D35</f>
        <v>69</v>
      </c>
      <c r="E36" s="262" t="s">
        <v>346</v>
      </c>
      <c r="F36" s="256" t="s">
        <v>347</v>
      </c>
      <c r="G36" s="267">
        <f>G35-G34+G31</f>
        <v>3650</v>
      </c>
      <c r="H36" s="268">
        <f>H35-H34+H31</f>
        <v>81</v>
      </c>
    </row>
    <row r="37" spans="1:8" ht="15.75">
      <c r="A37" s="261" t="s">
        <v>348</v>
      </c>
      <c r="B37" s="231" t="s">
        <v>349</v>
      </c>
      <c r="C37" s="634">
        <f>IF((G36-C36)&gt;0,G36-C36,0)</f>
        <v>2597</v>
      </c>
      <c r="D37" s="635">
        <f>IF((H36-D36)&gt;0,H36-D36,0)</f>
        <v>12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259</v>
      </c>
      <c r="D38" s="629">
        <f>D39+D40+D41</f>
        <v>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258</v>
      </c>
      <c r="D39" s="317">
        <v>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</v>
      </c>
      <c r="D40" s="317">
        <v>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2338</v>
      </c>
      <c r="D42" s="244">
        <f>+IF((H36-D36-D38)&gt;0,H36-D36-D38,0)</f>
        <v>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2338</v>
      </c>
      <c r="D44" s="268">
        <f>IF(H42=0,IF(D42-D43&gt;0,D42-D43+H43,0),IF(H42-H43&lt;0,H43-H42+D42,0))</f>
        <v>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3650</v>
      </c>
      <c r="D45" s="631">
        <f>D36+D38+D42</f>
        <v>81</v>
      </c>
      <c r="E45" s="270" t="s">
        <v>373</v>
      </c>
      <c r="F45" s="272" t="s">
        <v>374</v>
      </c>
      <c r="G45" s="630">
        <f>G42+G36</f>
        <v>3650</v>
      </c>
      <c r="H45" s="631">
        <f>H42+H36</f>
        <v>81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43872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АРСЕНИЯ БАШЕВА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50">
      <selection activeCell="B59" sqref="B59:E59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</v>
      </c>
      <c r="D11" s="196">
        <v>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-1581</v>
      </c>
      <c r="D12" s="196">
        <v>-16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-1588</v>
      </c>
      <c r="D21" s="659">
        <f>SUM(D11:D20)</f>
        <v>-22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107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-19740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3583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-3617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-19667</v>
      </c>
      <c r="D33" s="659">
        <f>SUM(D23:D32)</f>
        <v>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21713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-89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19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21622</v>
      </c>
      <c r="D43" s="661">
        <f>SUM(D35:D42)</f>
        <v>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367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132</v>
      </c>
      <c r="D45" s="309">
        <v>132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499</v>
      </c>
      <c r="D46" s="311">
        <f>D45+D44</f>
        <v>132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499</v>
      </c>
      <c r="D47" s="298">
        <v>132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43872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АРСЕНИЯ БАШЕВА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999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2">
      <selection activeCell="B43" sqref="B43:E43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80</v>
      </c>
      <c r="G13" s="584">
        <f>'1-Баланс'!H24</f>
        <v>0</v>
      </c>
      <c r="H13" s="585"/>
      <c r="I13" s="584">
        <f>'1-Баланс'!H29+'1-Баланс'!H32</f>
        <v>198</v>
      </c>
      <c r="J13" s="584">
        <f>'1-Баланс'!H30+'1-Баланс'!H33</f>
        <v>-30</v>
      </c>
      <c r="K13" s="585"/>
      <c r="L13" s="584">
        <f>SUM(C13:K13)</f>
        <v>1439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80</v>
      </c>
      <c r="G17" s="653">
        <f t="shared" si="2"/>
        <v>0</v>
      </c>
      <c r="H17" s="653">
        <f t="shared" si="2"/>
        <v>0</v>
      </c>
      <c r="I17" s="653">
        <f t="shared" si="2"/>
        <v>198</v>
      </c>
      <c r="J17" s="653">
        <f t="shared" si="2"/>
        <v>-30</v>
      </c>
      <c r="K17" s="653">
        <f t="shared" si="2"/>
        <v>0</v>
      </c>
      <c r="L17" s="584">
        <f t="shared" si="1"/>
        <v>1439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2338</v>
      </c>
      <c r="J18" s="584">
        <f>+'1-Баланс'!G33</f>
        <v>0</v>
      </c>
      <c r="K18" s="585"/>
      <c r="L18" s="584">
        <f t="shared" si="1"/>
        <v>2338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80</v>
      </c>
      <c r="G31" s="653">
        <f t="shared" si="6"/>
        <v>0</v>
      </c>
      <c r="H31" s="653">
        <f t="shared" si="6"/>
        <v>0</v>
      </c>
      <c r="I31" s="653">
        <f t="shared" si="6"/>
        <v>2536</v>
      </c>
      <c r="J31" s="653">
        <f t="shared" si="6"/>
        <v>-30</v>
      </c>
      <c r="K31" s="653">
        <f t="shared" si="6"/>
        <v>0</v>
      </c>
      <c r="L31" s="584">
        <f t="shared" si="1"/>
        <v>3777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80</v>
      </c>
      <c r="G34" s="587">
        <f t="shared" si="7"/>
        <v>0</v>
      </c>
      <c r="H34" s="587">
        <f t="shared" si="7"/>
        <v>0</v>
      </c>
      <c r="I34" s="587">
        <f t="shared" si="7"/>
        <v>2536</v>
      </c>
      <c r="J34" s="587">
        <f t="shared" si="7"/>
        <v>-30</v>
      </c>
      <c r="K34" s="587">
        <f t="shared" si="7"/>
        <v>0</v>
      </c>
      <c r="L34" s="651">
        <f t="shared" si="1"/>
        <v>3777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43872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АРСЕНИЯ БАШЕВА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999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45">
      <selection activeCell="A65" sqref="A65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998</v>
      </c>
      <c r="B63" s="680"/>
      <c r="C63" s="92">
        <v>8</v>
      </c>
      <c r="D63" s="92"/>
      <c r="E63" s="92"/>
      <c r="F63" s="469">
        <f>C63-E63</f>
        <v>8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8</v>
      </c>
      <c r="D78" s="472"/>
      <c r="E78" s="472">
        <f>SUM(E63:E77)</f>
        <v>0</v>
      </c>
      <c r="F78" s="472">
        <f>SUM(F63:F77)</f>
        <v>8</v>
      </c>
    </row>
    <row r="79" spans="1:6" ht="15.75">
      <c r="A79" s="513" t="s">
        <v>801</v>
      </c>
      <c r="B79" s="510" t="s">
        <v>802</v>
      </c>
      <c r="C79" s="472">
        <f>C78+C61+C44+C27</f>
        <v>8</v>
      </c>
      <c r="D79" s="472"/>
      <c r="E79" s="472">
        <f>E78+E61+E44+E27</f>
        <v>0</v>
      </c>
      <c r="F79" s="472">
        <f>F78+F61+F44+F27</f>
        <v>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43872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АРСЕНИЯ БАШЕВА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999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E39" sqref="E39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22</v>
      </c>
      <c r="E11" s="328"/>
      <c r="F11" s="328"/>
      <c r="G11" s="329">
        <f>D11+E11-F11</f>
        <v>22</v>
      </c>
      <c r="H11" s="328"/>
      <c r="I11" s="328"/>
      <c r="J11" s="329">
        <f>G11+H11-I11</f>
        <v>22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36</v>
      </c>
      <c r="E12" s="328"/>
      <c r="F12" s="328"/>
      <c r="G12" s="329">
        <f aca="true" t="shared" si="2" ref="G12:G41">D12+E12-F12</f>
        <v>36</v>
      </c>
      <c r="H12" s="328"/>
      <c r="I12" s="328"/>
      <c r="J12" s="329">
        <f aca="true" t="shared" si="3" ref="J12:J41">G12+H12-I12</f>
        <v>36</v>
      </c>
      <c r="K12" s="328">
        <v>13</v>
      </c>
      <c r="L12" s="328">
        <v>1</v>
      </c>
      <c r="M12" s="328"/>
      <c r="N12" s="329">
        <f aca="true" t="shared" si="4" ref="N12:N41">K12+L12-M12</f>
        <v>14</v>
      </c>
      <c r="O12" s="328"/>
      <c r="P12" s="328"/>
      <c r="Q12" s="329">
        <f t="shared" si="0"/>
        <v>14</v>
      </c>
      <c r="R12" s="340">
        <f t="shared" si="1"/>
        <v>22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</v>
      </c>
      <c r="E18" s="328"/>
      <c r="F18" s="328"/>
      <c r="G18" s="329">
        <f t="shared" si="2"/>
        <v>2</v>
      </c>
      <c r="H18" s="328"/>
      <c r="I18" s="328"/>
      <c r="J18" s="329">
        <f t="shared" si="3"/>
        <v>2</v>
      </c>
      <c r="K18" s="328">
        <v>2</v>
      </c>
      <c r="L18" s="328"/>
      <c r="M18" s="328"/>
      <c r="N18" s="329">
        <f t="shared" si="4"/>
        <v>2</v>
      </c>
      <c r="O18" s="328"/>
      <c r="P18" s="328"/>
      <c r="Q18" s="329">
        <f t="shared" si="0"/>
        <v>2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</v>
      </c>
      <c r="E19" s="330">
        <f>SUM(E11:E18)</f>
        <v>0</v>
      </c>
      <c r="F19" s="330">
        <f>SUM(F11:F18)</f>
        <v>0</v>
      </c>
      <c r="G19" s="329">
        <f t="shared" si="2"/>
        <v>60</v>
      </c>
      <c r="H19" s="330">
        <f>SUM(H11:H18)</f>
        <v>0</v>
      </c>
      <c r="I19" s="330">
        <f>SUM(I11:I18)</f>
        <v>0</v>
      </c>
      <c r="J19" s="329">
        <f t="shared" si="3"/>
        <v>60</v>
      </c>
      <c r="K19" s="330">
        <f>SUM(K11:K18)</f>
        <v>15</v>
      </c>
      <c r="L19" s="330">
        <f>SUM(L11:L18)</f>
        <v>1</v>
      </c>
      <c r="M19" s="330">
        <f>SUM(M11:M18)</f>
        <v>0</v>
      </c>
      <c r="N19" s="329">
        <f t="shared" si="4"/>
        <v>16</v>
      </c>
      <c r="O19" s="330">
        <f>SUM(O11:O18)</f>
        <v>0</v>
      </c>
      <c r="P19" s="330">
        <f>SUM(P11:P18)</f>
        <v>0</v>
      </c>
      <c r="Q19" s="329">
        <f t="shared" si="0"/>
        <v>16</v>
      </c>
      <c r="R19" s="340">
        <f t="shared" si="1"/>
        <v>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934</v>
      </c>
      <c r="E29" s="335">
        <f aca="true" t="shared" si="6" ref="E29:P29">SUM(E30:E33)</f>
        <v>0</v>
      </c>
      <c r="F29" s="335">
        <f t="shared" si="6"/>
        <v>934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934</v>
      </c>
      <c r="E30" s="328"/>
      <c r="F30" s="328">
        <v>934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8</v>
      </c>
      <c r="E39" s="328"/>
      <c r="F39" s="328"/>
      <c r="G39" s="329">
        <f t="shared" si="2"/>
        <v>8</v>
      </c>
      <c r="H39" s="328"/>
      <c r="I39" s="328"/>
      <c r="J39" s="329">
        <f t="shared" si="3"/>
        <v>8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8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942</v>
      </c>
      <c r="E40" s="330">
        <f aca="true" t="shared" si="10" ref="E40:P40">E29+E34+E39</f>
        <v>0</v>
      </c>
      <c r="F40" s="330">
        <f t="shared" si="10"/>
        <v>934</v>
      </c>
      <c r="G40" s="329">
        <f t="shared" si="2"/>
        <v>8</v>
      </c>
      <c r="H40" s="330">
        <f t="shared" si="10"/>
        <v>0</v>
      </c>
      <c r="I40" s="330">
        <f t="shared" si="10"/>
        <v>0</v>
      </c>
      <c r="J40" s="329">
        <f t="shared" si="3"/>
        <v>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1002</v>
      </c>
      <c r="E42" s="349">
        <f>E19+E20+E21+E27+E40+E41</f>
        <v>0</v>
      </c>
      <c r="F42" s="349">
        <f aca="true" t="shared" si="11" ref="F42:R42">F19+F20+F21+F27+F40+F41</f>
        <v>934</v>
      </c>
      <c r="G42" s="349">
        <f t="shared" si="11"/>
        <v>68</v>
      </c>
      <c r="H42" s="349">
        <f t="shared" si="11"/>
        <v>0</v>
      </c>
      <c r="I42" s="349">
        <f t="shared" si="11"/>
        <v>0</v>
      </c>
      <c r="J42" s="349">
        <f t="shared" si="11"/>
        <v>68</v>
      </c>
      <c r="K42" s="349">
        <f t="shared" si="11"/>
        <v>15</v>
      </c>
      <c r="L42" s="349">
        <f t="shared" si="11"/>
        <v>1</v>
      </c>
      <c r="M42" s="349">
        <f t="shared" si="11"/>
        <v>0</v>
      </c>
      <c r="N42" s="349">
        <f t="shared" si="11"/>
        <v>16</v>
      </c>
      <c r="O42" s="349">
        <f t="shared" si="11"/>
        <v>0</v>
      </c>
      <c r="P42" s="349">
        <f t="shared" si="11"/>
        <v>0</v>
      </c>
      <c r="Q42" s="349">
        <f t="shared" si="11"/>
        <v>16</v>
      </c>
      <c r="R42" s="350">
        <f t="shared" si="11"/>
        <v>52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43872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АРСЕНИЯ БАШЕВА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D33" sqref="D33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1500</v>
      </c>
      <c r="D26" s="362">
        <f>SUM(D27:D29)</f>
        <v>1500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1500</v>
      </c>
      <c r="D29" s="368">
        <v>1500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3750+173</f>
        <v>3923</v>
      </c>
      <c r="D32" s="368">
        <f>3750+173</f>
        <v>3923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5423</v>
      </c>
      <c r="D45" s="438">
        <f>D26+D30+D31+D33+D32+D34+D35+D40</f>
        <v>5423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5423</v>
      </c>
      <c r="D46" s="444">
        <f>D45+D23+D21+D11</f>
        <v>5423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21514</v>
      </c>
      <c r="D65" s="197"/>
      <c r="E65" s="136">
        <f t="shared" si="1"/>
        <v>21514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21514</v>
      </c>
      <c r="D68" s="435">
        <f>D54+D58+D63+D64+D65+D66</f>
        <v>0</v>
      </c>
      <c r="E68" s="436">
        <f t="shared" si="1"/>
        <v>21514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</v>
      </c>
      <c r="D70" s="197"/>
      <c r="E70" s="136">
        <f t="shared" si="1"/>
        <v>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</v>
      </c>
      <c r="D82" s="138">
        <f>SUM(D83:D86)</f>
        <v>12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12</v>
      </c>
      <c r="D84" s="197">
        <v>12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262</v>
      </c>
      <c r="D87" s="134">
        <f>SUM(D88:D92)+D96</f>
        <v>262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258</v>
      </c>
      <c r="D92" s="138">
        <f>SUM(D93:D95)</f>
        <v>258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258</v>
      </c>
      <c r="D93" s="197">
        <v>258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274</v>
      </c>
      <c r="D98" s="433">
        <f>D87+D82+D77+D73+D97</f>
        <v>274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21789</v>
      </c>
      <c r="D99" s="427">
        <f>D98+D70+D68</f>
        <v>274</v>
      </c>
      <c r="E99" s="427">
        <f>E98+E70+E68</f>
        <v>21515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43872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АРСЕНИЯ БАШЕВА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8557</v>
      </c>
      <c r="D17" s="449"/>
      <c r="E17" s="449"/>
      <c r="F17" s="449">
        <v>8</v>
      </c>
      <c r="G17" s="449"/>
      <c r="H17" s="449"/>
      <c r="I17" s="450">
        <f t="shared" si="0"/>
        <v>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8557</v>
      </c>
      <c r="D18" s="456">
        <f t="shared" si="1"/>
        <v>0</v>
      </c>
      <c r="E18" s="456">
        <f t="shared" si="1"/>
        <v>0</v>
      </c>
      <c r="F18" s="456">
        <f t="shared" si="1"/>
        <v>8</v>
      </c>
      <c r="G18" s="456">
        <f t="shared" si="1"/>
        <v>0</v>
      </c>
      <c r="H18" s="456">
        <f t="shared" si="1"/>
        <v>0</v>
      </c>
      <c r="I18" s="457">
        <f t="shared" si="0"/>
        <v>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4424137</v>
      </c>
      <c r="D20" s="449"/>
      <c r="E20" s="449"/>
      <c r="F20" s="449">
        <v>18041</v>
      </c>
      <c r="G20" s="449">
        <v>26</v>
      </c>
      <c r="H20" s="449">
        <v>2</v>
      </c>
      <c r="I20" s="450">
        <f t="shared" si="0"/>
        <v>18065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1105132</v>
      </c>
      <c r="D26" s="449"/>
      <c r="E26" s="449"/>
      <c r="F26" s="449">
        <v>1535</v>
      </c>
      <c r="G26" s="449">
        <v>4</v>
      </c>
      <c r="H26" s="449">
        <v>12</v>
      </c>
      <c r="I26" s="450">
        <f t="shared" si="0"/>
        <v>1527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5529269</v>
      </c>
      <c r="D27" s="456">
        <f t="shared" si="2"/>
        <v>0</v>
      </c>
      <c r="E27" s="456">
        <f t="shared" si="2"/>
        <v>0</v>
      </c>
      <c r="F27" s="456">
        <f t="shared" si="2"/>
        <v>19576</v>
      </c>
      <c r="G27" s="456">
        <f t="shared" si="2"/>
        <v>30</v>
      </c>
      <c r="H27" s="456">
        <f t="shared" si="2"/>
        <v>14</v>
      </c>
      <c r="I27" s="457">
        <f t="shared" si="0"/>
        <v>19592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43872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АРСЕНИЯ БАШЕВА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2016-09-14T10:20:26Z</cp:lastPrinted>
  <dcterms:created xsi:type="dcterms:W3CDTF">2006-09-16T00:00:00Z</dcterms:created>
  <dcterms:modified xsi:type="dcterms:W3CDTF">2020-07-28T15:44:47Z</dcterms:modified>
  <cp:category/>
  <cp:version/>
  <cp:contentType/>
  <cp:contentStatus/>
</cp:coreProperties>
</file>