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40" yWindow="555" windowWidth="15555" windowHeight="12210" tabRatio="909" activeTab="0"/>
  </bookViews>
  <sheets>
    <sheet name="справка №1-БАЛАНС " sheetId="1" r:id="rId1"/>
    <sheet name="справка №2ОТЧЕТ ЗА ДОХОДИТЕ 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 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метод'!$A$2:$D$53</definedName>
    <definedName name="_xlnm.Print_Area" localSheetId="3">'справка №4-ОСК'!$A$1:$N$39</definedName>
    <definedName name="_xlnm.Print_Area" localSheetId="5">'справка №6'!$A$1:$F$112</definedName>
    <definedName name="_xlnm.Print_Area" localSheetId="7">'справка №8'!$A:$IV</definedName>
    <definedName name="_xlnm.Print_Titles" localSheetId="0">'справка №1-БАЛАНС '!$8:$8</definedName>
    <definedName name="_xlnm.Print_Titles" localSheetId="5">'справка №6'!$47:$50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<sst xmlns="http://schemas.openxmlformats.org/spreadsheetml/2006/main" count="1075" uniqueCount="874">
  <si>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</si>
  <si>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</si>
  <si>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</si>
  <si>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</si>
  <si>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</si>
  <si>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</si>
  <si>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</si>
  <si>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</si>
  <si>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</si>
  <si>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</si>
  <si>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</si>
  <si>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</si>
  <si>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</si>
  <si>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</si>
  <si>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</si>
  <si>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</si>
  <si>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</si>
  <si>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</si>
  <si>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</si>
  <si>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</si>
  <si>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</si>
  <si>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</si>
  <si>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</si>
  <si>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</si>
  <si>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</si>
  <si>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</si>
  <si>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</si>
  <si>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</si>
  <si>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</si>
  <si>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</si>
  <si>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</si>
  <si>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</si>
  <si>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</si>
  <si>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</si>
  <si>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</si>
  <si>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</si>
  <si>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</si>
  <si>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</si>
  <si>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</si>
  <si>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</si>
  <si>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</si>
  <si>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</si>
  <si>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</si>
  <si>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</si>
  <si>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</si>
  <si>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</si>
  <si>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</si>
  <si>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</si>
  <si>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</si>
  <si>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</si>
  <si>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</si>
  <si>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</si>
  <si>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</si>
  <si>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</si>
  <si>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</si>
  <si>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</si>
  <si>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</si>
  <si>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</si>
  <si>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</si>
  <si>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</si>
  <si>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</si>
  <si>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</si>
  <si>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</si>
  <si>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</si>
  <si>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</si>
  <si>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</si>
  <si>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</si>
  <si>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</si>
  <si>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</si>
  <si>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</si>
  <si>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</si>
  <si>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</si>
  <si>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</si>
  <si>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</si>
  <si>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</si>
  <si>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</si>
  <si>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</si>
  <si>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</si>
  <si>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</si>
  <si>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</si>
  <si>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</si>
  <si>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</si>
  <si>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</si>
  <si>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</si>
  <si>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</si>
  <si>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</si>
  <si>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</si>
  <si>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</si>
  <si>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</si>
  <si>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</si>
  <si>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</si>
  <si>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</si>
  <si>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</si>
  <si>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</si>
  <si>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</si>
  <si>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</si>
  <si>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</si>
  <si>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</si>
  <si>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</si>
  <si>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</si>
  <si>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</si>
  <si>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</si>
  <si>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</si>
  <si>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</si>
  <si>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</si>
  <si>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</si>
  <si>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</si>
  <si>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</si>
  <si>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</si>
  <si>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</si>
  <si>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</si>
  <si>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</si>
  <si>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</si>
  <si>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</si>
  <si>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</si>
  <si>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</si>
  <si>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</si>
  <si>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</si>
  <si>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</si>
  <si>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</si>
  <si>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</si>
  <si>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</si>
  <si>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</si>
  <si>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</si>
  <si>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</si>
  <si>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</si>
  <si>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</si>
  <si>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</si>
  <si>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</si>
  <si>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</si>
  <si>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</si>
  <si>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</si>
  <si>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</si>
  <si>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</si>
  <si>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</si>
  <si>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</si>
  <si>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</si>
  <si>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</si>
  <si>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</si>
  <si>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</si>
  <si>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</si>
  <si>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</si>
  <si>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</si>
  <si>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</si>
  <si>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</si>
  <si>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</si>
  <si>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</si>
  <si>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</si>
  <si>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</si>
  <si>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</si>
  <si>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</si>
  <si>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</si>
  <si>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</si>
  <si>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</si>
  <si>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</si>
  <si>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</si>
  <si>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</si>
  <si>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</si>
  <si>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</si>
  <si>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</si>
  <si>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</si>
  <si>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</si>
  <si>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</si>
  <si>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</si>
  <si>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</si>
  <si>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</si>
  <si>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</si>
  <si>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</si>
  <si>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</si>
  <si>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</si>
  <si>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</si>
  <si>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</si>
  <si>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</si>
  <si>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</si>
  <si>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</si>
  <si>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</si>
  <si>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</si>
  <si>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</si>
  <si>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</si>
  <si>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</si>
  <si>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</si>
  <si>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</si>
  <si>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</si>
  <si>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</si>
  <si>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</si>
  <si>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</si>
  <si>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</si>
  <si>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</si>
  <si>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</si>
  <si>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</si>
  <si>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</si>
  <si>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</si>
  <si>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</si>
  <si>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</si>
  <si>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</si>
  <si>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</si>
  <si>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</si>
  <si>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</si>
  <si>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</si>
  <si>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</si>
  <si>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</si>
  <si>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</si>
  <si>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</si>
  <si>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</si>
  <si>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</si>
  <si>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</si>
  <si>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</si>
  <si>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</si>
  <si>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</si>
  <si>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</si>
  <si>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</si>
  <si>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</si>
  <si>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</si>
  <si>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</si>
  <si>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</si>
  <si>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</si>
  <si>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</si>
  <si>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</si>
  <si>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</si>
  <si>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</si>
  <si>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</si>
  <si>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</si>
  <si>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</si>
  <si>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</si>
  <si>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</si>
  <si>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</si>
  <si>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</si>
  <si>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</si>
  <si>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</si>
  <si>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</si>
  <si>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</si>
  <si>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</si>
  <si>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</si>
  <si>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</si>
  <si>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</si>
  <si>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</si>
  <si>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</si>
  <si>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</si>
  <si>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</si>
  <si>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</si>
  <si>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</si>
  <si>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</si>
  <si>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</si>
  <si>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</si>
  <si>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</si>
  <si>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</si>
  <si>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</si>
  <si>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</si>
  <si>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</si>
  <si>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</si>
  <si>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</si>
  <si>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</si>
  <si>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</si>
  <si>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</si>
  <si>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</si>
  <si>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</si>
  <si>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</si>
  <si>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</si>
  <si>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</si>
  <si>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</si>
  <si>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</si>
  <si>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</si>
  <si>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</si>
  <si>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</si>
  <si>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</si>
  <si>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</si>
  <si>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</si>
  <si>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</si>
  <si>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</si>
  <si>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</si>
  <si>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</si>
  <si>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</si>
  <si>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</si>
  <si>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</si>
  <si>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</si>
  <si>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</si>
  <si>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</si>
  <si>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</si>
  <si>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</si>
  <si>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</si>
  <si>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</si>
  <si>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</si>
  <si>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</si>
  <si>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</si>
  <si>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</si>
  <si>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</si>
  <si>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</si>
  <si>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</si>
  <si>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</si>
  <si>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</si>
  <si>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</si>
  <si>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</si>
  <si>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</si>
  <si>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</si>
  <si>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</si>
  <si>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</si>
  <si>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</si>
  <si>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</si>
  <si>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</si>
  <si>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</si>
  <si>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</si>
  <si>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</si>
  <si>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</si>
  <si>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</si>
  <si>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</si>
  <si>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</si>
  <si>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</si>
  <si>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</si>
  <si>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</si>
  <si>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</si>
  <si>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</si>
  <si>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</si>
  <si>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</si>
  <si>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</si>
  <si>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</si>
  <si>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</si>
  <si>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</si>
  <si>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</si>
  <si>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</si>
  <si>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</si>
  <si>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</si>
  <si>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</si>
  <si>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</si>
  <si>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</si>
  <si>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</si>
  <si>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</si>
  <si>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</si>
  <si>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</si>
  <si>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</si>
  <si>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</si>
  <si>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</si>
  <si>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</si>
  <si>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</si>
  <si>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</si>
  <si>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</si>
  <si>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</si>
  <si>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</si>
  <si>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</si>
  <si>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</si>
  <si>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</si>
  <si>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</si>
  <si>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</si>
  <si>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</si>
  <si>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</si>
  <si>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</si>
  <si>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</si>
  <si>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</si>
  <si>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</si>
  <si>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</si>
  <si>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</si>
  <si>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</si>
  <si>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</si>
  <si>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</si>
  <si>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</si>
  <si>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</si>
  <si>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</si>
  <si>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</si>
  <si>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</si>
  <si>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</si>
  <si>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</si>
  <si>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</si>
  <si>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</si>
  <si>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</si>
  <si>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</si>
  <si>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</si>
  <si>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</si>
  <si>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</si>
  <si>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</si>
  <si>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</si>
  <si>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</si>
  <si>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</si>
  <si>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</si>
  <si>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</si>
  <si>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</si>
  <si>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</si>
  <si>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</si>
  <si>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</si>
  <si>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</si>
  <si>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</si>
  <si>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</si>
  <si>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</si>
  <si>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</si>
  <si>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</si>
  <si>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</si>
  <si>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</si>
  <si>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</si>
  <si>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</si>
  <si>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</si>
  <si>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</si>
  <si>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</si>
  <si>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</si>
  <si>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</si>
  <si>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</si>
  <si>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</si>
  <si>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</si>
  <si>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</si>
  <si>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</si>
  <si>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</si>
  <si>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</si>
  <si>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</si>
  <si>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</si>
  <si>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</si>
  <si>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</si>
  <si>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</si>
  <si>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</si>
  <si>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</si>
  <si>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</si>
  <si>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</si>
  <si>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</si>
  <si>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</si>
  <si>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</si>
  <si>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</si>
  <si>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</si>
  <si>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</si>
  <si>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</si>
  <si>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</si>
  <si>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</si>
  <si>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</si>
  <si>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</si>
  <si>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</si>
  <si>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</si>
  <si>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</si>
  <si>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</si>
  <si>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</si>
  <si>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</si>
  <si>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</si>
  <si>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</si>
  <si>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</si>
  <si>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</si>
  <si>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</si>
  <si>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</si>
  <si>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</si>
  <si>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</si>
  <si>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</si>
  <si>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</si>
  <si>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</si>
  <si>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</si>
  <si>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</si>
  <si>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</si>
  <si>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</si>
  <si>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</si>
  <si>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</si>
  <si>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</si>
  <si>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</si>
  <si>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</si>
  <si>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</si>
  <si>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</si>
  <si>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</si>
  <si>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</si>
  <si>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</si>
  <si>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</si>
  <si>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</si>
  <si>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</si>
  <si>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</si>
  <si>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</si>
  <si>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</si>
  <si>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</si>
  <si>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</si>
  <si>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</si>
  <si>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</si>
  <si>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</si>
  <si>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</si>
  <si>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</si>
  <si>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</si>
  <si>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</si>
  <si>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</si>
  <si>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</si>
  <si>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</si>
  <si>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</si>
  <si>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</si>
  <si>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</si>
  <si>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</si>
  <si>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</si>
  <si>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</si>
  <si>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</si>
  <si>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</si>
  <si>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</si>
  <si>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</si>
  <si>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</si>
  <si>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</si>
  <si>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</si>
  <si>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</si>
  <si>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</si>
  <si>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</si>
  <si>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</si>
  <si>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</si>
  <si>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</si>
  <si>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</si>
  <si>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</si>
  <si>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</si>
  <si>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</si>
  <si>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</si>
  <si>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</si>
  <si>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</si>
  <si>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</si>
  <si>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</si>
  <si>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</si>
  <si>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</si>
  <si>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</si>
  <si>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</si>
  <si>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</si>
  <si>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</si>
  <si>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</si>
  <si>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</si>
  <si>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</si>
  <si>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</si>
  <si>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</si>
  <si>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</si>
  <si>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</si>
  <si>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</si>
  <si>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</si>
  <si>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</si>
  <si>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</si>
  <si>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</si>
  <si>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</si>
  <si>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</si>
  <si>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</si>
  <si>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</si>
  <si>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</si>
  <si>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</si>
  <si>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</si>
  <si>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</si>
  <si>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</si>
  <si>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</si>
  <si>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</si>
  <si>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</si>
  <si>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</si>
  <si>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</si>
  <si>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</si>
  <si>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</si>
  <si>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</si>
  <si>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</si>
  <si>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</si>
  <si>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</si>
  <si>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</si>
  <si>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</si>
  <si>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</si>
  <si>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</si>
  <si>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</si>
  <si>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</si>
  <si>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</si>
  <si>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</si>
  <si>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</si>
  <si>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</si>
  <si>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</si>
  <si>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</si>
  <si>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</si>
  <si>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</si>
  <si>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</si>
  <si>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</si>
  <si>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</si>
  <si>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</si>
  <si>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</si>
  <si>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</si>
  <si>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</si>
  <si>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</si>
  <si>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</si>
  <si>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</si>
  <si>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</si>
  <si>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</si>
  <si>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</si>
  <si>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</si>
  <si>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</si>
  <si>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</si>
  <si>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</si>
  <si>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</si>
  <si>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</si>
  <si>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</si>
  <si>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</si>
  <si>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</si>
  <si>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</si>
  <si>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</si>
  <si>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</si>
  <si>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</si>
  <si>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</si>
  <si>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</si>
  <si>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</si>
  <si>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</si>
  <si>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</si>
  <si>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</si>
  <si>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</si>
  <si>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</si>
  <si>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</si>
  <si>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</si>
  <si>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</si>
  <si>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</si>
  <si>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</si>
  <si>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</si>
  <si>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</si>
  <si>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</si>
  <si>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</si>
  <si>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</si>
  <si>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</si>
  <si>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</si>
  <si>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</si>
  <si>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</si>
  <si>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</si>
  <si>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</si>
  <si>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</si>
  <si>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</si>
  <si>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</si>
  <si>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</si>
  <si>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</si>
  <si>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</si>
  <si>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</si>
  <si>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</si>
  <si>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</si>
  <si>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</si>
  <si>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</si>
  <si>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</si>
  <si>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</si>
  <si>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</si>
  <si>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</si>
  <si>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</si>
  <si>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</si>
  <si>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</si>
  <si>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</si>
  <si>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</si>
  <si>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</si>
  <si>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</si>
  <si>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</si>
  <si>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</si>
  <si>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</si>
  <si>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</si>
  <si>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</si>
  <si>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</si>
  <si>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</si>
  <si>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</si>
  <si>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</si>
  <si>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</si>
  <si>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</si>
  <si>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</si>
  <si>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</si>
  <si>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</si>
  <si>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</si>
  <si>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</si>
  <si>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</si>
  <si>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</si>
  <si>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</si>
  <si>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</si>
  <si>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</si>
  <si>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</si>
  <si>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</si>
  <si>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</si>
  <si>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</si>
  <si>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</si>
  <si>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</si>
  <si>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</si>
  <si>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</si>
  <si>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</si>
  <si>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</si>
  <si>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</si>
  <si>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</si>
  <si>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</si>
  <si>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</si>
  <si>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</si>
  <si>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</si>
  <si>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</si>
  <si>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</si>
  <si>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</si>
  <si>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</si>
  <si>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</si>
  <si>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</si>
  <si>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</si>
  <si>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</si>
  <si>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</si>
  <si>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</si>
  <si>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</si>
  <si>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</si>
  <si>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</si>
  <si>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</si>
  <si>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</si>
  <si>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</si>
  <si>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</si>
  <si>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</si>
  <si>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</si>
  <si>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</si>
  <si>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</si>
  <si>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</si>
  <si>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</si>
  <si>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</si>
  <si>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</si>
  <si>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</si>
  <si>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</si>
  <si>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</si>
  <si>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</si>
  <si>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</si>
  <si>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</si>
  <si>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</si>
  <si>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</si>
  <si>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</si>
  <si>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</si>
  <si>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</si>
  <si>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</si>
  <si>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</si>
  <si>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</si>
  <si>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</si>
  <si>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</si>
  <si>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</si>
  <si>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</si>
  <si>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</si>
  <si>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</si>
  <si>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</si>
  <si>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</si>
  <si>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</si>
  <si>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</si>
  <si>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</si>
  <si>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</si>
  <si>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</si>
  <si>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</si>
  <si>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</si>
  <si>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</si>
  <si>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</si>
  <si>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</si>
  <si>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</si>
  <si>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</si>
  <si>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</si>
  <si>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</si>
  <si>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</si>
  <si>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</si>
  <si>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</si>
  <si>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</si>
  <si>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</si>
  <si>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</si>
  <si>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</si>
  <si>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</si>
  <si>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</si>
  <si>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</si>
  <si>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</si>
  <si>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</si>
  <si>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</si>
  <si>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</si>
  <si>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</si>
  <si>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</si>
  <si>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</si>
  <si>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</si>
  <si>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</si>
  <si>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</si>
  <si>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</si>
  <si>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</si>
  <si>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</si>
  <si>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</si>
  <si>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</si>
  <si>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</si>
  <si>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</si>
  <si>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</si>
  <si>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</si>
  <si>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</si>
  <si>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</si>
  <si>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</si>
  <si>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</si>
  <si>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</si>
  <si>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</si>
  <si>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</si>
  <si>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</si>
  <si>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</si>
  <si>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</si>
  <si>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</si>
  <si>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</si>
  <si>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</si>
  <si>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</si>
  <si>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</si>
  <si>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</si>
  <si>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</si>
  <si>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</si>
  <si>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</si>
  <si>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</si>
  <si>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</si>
  <si>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</si>
  <si>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</si>
  <si>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</si>
  <si>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</si>
  <si>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</si>
  <si>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</si>
  <si>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</si>
  <si>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</si>
  <si>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</si>
  <si>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</si>
  <si>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</si>
  <si>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</si>
  <si>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</si>
  <si>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</si>
  <si>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</si>
  <si>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</si>
  <si>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</si>
  <si>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</si>
  <si>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</si>
  <si>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</si>
  <si>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</si>
  <si>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</si>
  <si>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</si>
  <si>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</si>
  <si>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</si>
  <si>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</si>
  <si>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</si>
  <si>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</si>
  <si>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</si>
  <si>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</si>
  <si>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</si>
  <si>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</si>
  <si>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</si>
  <si>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</si>
  <si>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</si>
  <si>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</si>
  <si>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</si>
  <si>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</si>
  <si>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</si>
  <si>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</si>
  <si>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</si>
  <si>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</si>
  <si>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</si>
  <si>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</si>
  <si>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</si>
  <si>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</si>
  <si>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</si>
  <si>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</si>
  <si>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</si>
  <si>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</si>
  <si>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</si>
  <si>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</si>
  <si>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</si>
  <si>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</si>
  <si>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</si>
  <si>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</si>
  <si>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</si>
  <si>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</si>
  <si>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</si>
  <si>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</si>
  <si>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</si>
  <si>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</si>
  <si>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</si>
  <si>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</si>
  <si>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</si>
  <si>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</si>
  <si>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</si>
  <si>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</si>
  <si>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</si>
  <si>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</si>
  <si>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</si>
  <si>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</si>
  <si>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</si>
  <si>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</si>
  <si>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</si>
  <si>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</si>
  <si>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</si>
  <si>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</si>
  <si>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</si>
  <si>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</si>
  <si>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</si>
  <si>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</si>
  <si>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</si>
  <si>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</si>
  <si>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</si>
  <si>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</si>
  <si>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</si>
  <si>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</si>
  <si>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</si>
  <si>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</si>
  <si>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</si>
  <si>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</si>
  <si>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Транскарт АД</t>
  </si>
  <si>
    <t>(Христина Станева)</t>
  </si>
  <si>
    <t xml:space="preserve"> Ръководител:</t>
  </si>
  <si>
    <t>(Христина  Станева)</t>
  </si>
  <si>
    <t>неконсолидиран</t>
  </si>
  <si>
    <t>(Вл.Ангелов)</t>
  </si>
  <si>
    <t>(Владимир Ангелов)</t>
  </si>
  <si>
    <t xml:space="preserve">   (Владимир Ангелов)</t>
  </si>
  <si>
    <t>към 31.12.2009година</t>
  </si>
  <si>
    <t>Дата на съставяне:19.03.2010 год.</t>
  </si>
  <si>
    <t>19.03.2010</t>
  </si>
  <si>
    <t xml:space="preserve">Дата на съставяне: 19.03.2010год.                                      </t>
  </si>
  <si>
    <t xml:space="preserve">Дата на съставяне: 19.03.2010 год.                                      </t>
  </si>
  <si>
    <t>Дата на съставяне: 19.03.2010 година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</si>
</sst>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57">
    <font>
      <sz val="10"/>
      <name val="TmsCyr"/>
      <family val="0"/>
    </font>
    <font>
      <sz val="10"/>
      <name val="Timok"/>
      <family val="2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29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" fontId="10" fillId="0" borderId="0" xfId="65" applyNumberFormat="1" applyFont="1" applyBorder="1" applyAlignment="1" applyProtection="1">
      <alignment horizontal="right" vertical="center" wrapText="1"/>
      <protection locked="0"/>
    </xf>
    <xf numFmtId="3" fontId="10" fillId="0" borderId="0" xfId="65" applyNumberFormat="1" applyFont="1" applyBorder="1" applyAlignment="1" applyProtection="1">
      <alignment horizontal="right" vertical="center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75" zoomScaleNormal="75" zoomScalePageLayoutView="0" workbookViewId="0" topLeftCell="A1">
      <selection activeCell="E32" sqref="E32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1" t="s">
        <v>860</v>
      </c>
      <c r="F3" s="217" t="s">
        <v>2</v>
      </c>
      <c r="G3" s="172"/>
      <c r="H3" s="460">
        <v>130786407</v>
      </c>
    </row>
    <row r="4" spans="1:8" ht="15">
      <c r="A4" s="575" t="s">
        <v>3</v>
      </c>
      <c r="B4" s="581"/>
      <c r="C4" s="581"/>
      <c r="D4" s="581"/>
      <c r="E4" s="460" t="s">
        <v>864</v>
      </c>
      <c r="F4" s="577" t="s">
        <v>4</v>
      </c>
      <c r="G4" s="578"/>
      <c r="H4" s="460"/>
    </row>
    <row r="5" spans="1:8" ht="15">
      <c r="A5" s="575" t="s">
        <v>5</v>
      </c>
      <c r="B5" s="576"/>
      <c r="C5" s="576"/>
      <c r="D5" s="576"/>
      <c r="E5" s="503" t="s">
        <v>868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7000</v>
      </c>
      <c r="H11" s="152">
        <v>7000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7000</v>
      </c>
      <c r="H12" s="153">
        <v>7000</v>
      </c>
    </row>
    <row r="13" spans="1:8" ht="15">
      <c r="A13" s="235" t="s">
        <v>28</v>
      </c>
      <c r="B13" s="241" t="s">
        <v>29</v>
      </c>
      <c r="C13" s="151">
        <v>440</v>
      </c>
      <c r="D13" s="151">
        <v>1155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105</v>
      </c>
      <c r="D15" s="151">
        <v>134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27</v>
      </c>
      <c r="D16" s="151">
        <v>40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7000</v>
      </c>
      <c r="H17" s="154">
        <f>H11+H14+H15+H16</f>
        <v>7000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572</v>
      </c>
      <c r="D19" s="155">
        <f>SUM(D11:D18)</f>
        <v>1329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>
        <v>11</v>
      </c>
      <c r="D23" s="151">
        <v>24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26</v>
      </c>
      <c r="D24" s="151">
        <v>51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37</v>
      </c>
      <c r="D27" s="155">
        <f>SUM(D23:D26)</f>
        <v>75</v>
      </c>
      <c r="E27" s="253" t="s">
        <v>83</v>
      </c>
      <c r="F27" s="242" t="s">
        <v>84</v>
      </c>
      <c r="G27" s="154">
        <f>SUM(G28:G30)</f>
        <v>-7070</v>
      </c>
      <c r="H27" s="154">
        <f>SUM(H28:H30)</f>
        <v>-6455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-7070</v>
      </c>
      <c r="H29" s="316">
        <v>-6455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-1328</v>
      </c>
      <c r="H32" s="316">
        <v>-615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-8398</v>
      </c>
      <c r="H33" s="154">
        <f>H27+H31+H32</f>
        <v>-7070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-1398</v>
      </c>
      <c r="H36" s="154">
        <f>H25+H17+H33</f>
        <v>-70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50</v>
      </c>
      <c r="D50" s="151">
        <v>50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50</v>
      </c>
      <c r="D51" s="155">
        <f>SUM(D47:D50)</f>
        <v>50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218</v>
      </c>
      <c r="D54" s="151">
        <v>142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877</v>
      </c>
      <c r="D55" s="155">
        <f>D19+D20+D21+D27+D32+D45+D51+D53+D54</f>
        <v>1596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127</v>
      </c>
      <c r="D58" s="151">
        <v>136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3234</v>
      </c>
      <c r="H61" s="154">
        <f>SUM(H62:H68)</f>
        <v>4076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2614</v>
      </c>
      <c r="H62" s="152">
        <f>759+930</f>
        <v>1689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127</v>
      </c>
      <c r="D64" s="155">
        <f>SUM(D58:D63)</f>
        <v>136</v>
      </c>
      <c r="E64" s="237" t="s">
        <v>200</v>
      </c>
      <c r="F64" s="242" t="s">
        <v>201</v>
      </c>
      <c r="G64" s="152">
        <v>579</v>
      </c>
      <c r="H64" s="152">
        <v>2254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38</v>
      </c>
      <c r="H66" s="152">
        <v>115</v>
      </c>
    </row>
    <row r="67" spans="1:8" ht="15">
      <c r="A67" s="235" t="s">
        <v>207</v>
      </c>
      <c r="B67" s="241" t="s">
        <v>208</v>
      </c>
      <c r="C67" s="151">
        <f>17+85+169-12-1</f>
        <v>258</v>
      </c>
      <c r="D67" s="151">
        <f>115+259</f>
        <v>374</v>
      </c>
      <c r="E67" s="237" t="s">
        <v>209</v>
      </c>
      <c r="F67" s="242" t="s">
        <v>210</v>
      </c>
      <c r="G67" s="152">
        <v>3</v>
      </c>
      <c r="H67" s="152">
        <v>18</v>
      </c>
    </row>
    <row r="68" spans="1:8" ht="15">
      <c r="A68" s="235" t="s">
        <v>211</v>
      </c>
      <c r="B68" s="241" t="s">
        <v>212</v>
      </c>
      <c r="C68" s="151">
        <f>5+11+45+159+1</f>
        <v>221</v>
      </c>
      <c r="D68" s="151">
        <f>1870-259</f>
        <v>1611</v>
      </c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f>15+2+3+72+23+79+12+1</f>
        <v>207</v>
      </c>
      <c r="H69" s="152">
        <v>200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>
        <v>73</v>
      </c>
      <c r="H70" s="152">
        <v>73</v>
      </c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3514</v>
      </c>
      <c r="H71" s="161">
        <f>H59+H60+H61+H69+H70</f>
        <v>4349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19</v>
      </c>
      <c r="D72" s="151">
        <v>10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f>21+161+8-159</f>
        <v>31</v>
      </c>
      <c r="D74" s="151">
        <v>32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529</v>
      </c>
      <c r="D75" s="155">
        <f>SUM(D67:D74)</f>
        <v>2027</v>
      </c>
      <c r="E75" s="251" t="s">
        <v>160</v>
      </c>
      <c r="F75" s="245" t="s">
        <v>234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36</v>
      </c>
      <c r="H76" s="152">
        <v>36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3550</v>
      </c>
      <c r="H79" s="162">
        <f>H71+H74+H75+H76</f>
        <v>4385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f>39+15+1+545+17</f>
        <v>617</v>
      </c>
      <c r="D89" s="151">
        <v>544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617</v>
      </c>
      <c r="D91" s="155">
        <f>SUM(D87:D90)</f>
        <v>545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2</v>
      </c>
      <c r="D92" s="151">
        <v>11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1275</v>
      </c>
      <c r="D93" s="155">
        <f>D64+D75+D84+D91+D92</f>
        <v>2719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2152</v>
      </c>
      <c r="D94" s="164">
        <f>D93+D55</f>
        <v>4315</v>
      </c>
      <c r="E94" s="449" t="s">
        <v>270</v>
      </c>
      <c r="F94" s="289" t="s">
        <v>271</v>
      </c>
      <c r="G94" s="165">
        <f>G36+G39+G55+G79</f>
        <v>2152</v>
      </c>
      <c r="H94" s="165">
        <f>H36+H39+H55+H79</f>
        <v>4315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869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3:8" ht="15">
      <c r="C99" s="45"/>
      <c r="D99" s="1" t="s">
        <v>861</v>
      </c>
      <c r="E99" s="45"/>
      <c r="F99" s="170"/>
      <c r="G99" s="171"/>
      <c r="H99" s="172"/>
    </row>
    <row r="100" spans="1:5" ht="15">
      <c r="A100" s="173"/>
      <c r="B100" s="173"/>
      <c r="C100" s="579" t="s">
        <v>854</v>
      </c>
      <c r="D100" s="580"/>
      <c r="E100" s="580"/>
    </row>
    <row r="101" ht="15">
      <c r="D101" s="1" t="s">
        <v>865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D28" sqref="D28"/>
    </sheetView>
  </sheetViews>
  <sheetFormatPr defaultColWidth="9.25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2" t="s">
        <v>274</v>
      </c>
      <c r="B1" s="462"/>
      <c r="C1" s="463"/>
      <c r="D1" s="464"/>
      <c r="E1" s="465"/>
      <c r="F1" s="465"/>
      <c r="G1" s="542"/>
      <c r="H1" s="542"/>
    </row>
    <row r="2" spans="1:8" ht="15">
      <c r="A2" s="466" t="s">
        <v>1</v>
      </c>
      <c r="B2" s="584" t="str">
        <f>'справка №1-БАЛАНС '!E3</f>
        <v>Транскарт АД</v>
      </c>
      <c r="C2" s="584"/>
      <c r="D2" s="584"/>
      <c r="E2" s="584"/>
      <c r="F2" s="586" t="s">
        <v>2</v>
      </c>
      <c r="G2" s="586"/>
      <c r="H2" s="524">
        <f>'справка №1-БАЛАНС '!H3</f>
        <v>130786407</v>
      </c>
    </row>
    <row r="3" spans="1:8" ht="15">
      <c r="A3" s="466" t="s">
        <v>275</v>
      </c>
      <c r="B3" s="584" t="str">
        <f>'справка №1-БАЛАНС '!E4</f>
        <v>неконсолидиран</v>
      </c>
      <c r="C3" s="584"/>
      <c r="D3" s="584"/>
      <c r="E3" s="584"/>
      <c r="F3" s="544" t="s">
        <v>4</v>
      </c>
      <c r="G3" s="525"/>
      <c r="H3" s="525">
        <f>'справка №1-БАЛАНС '!H4</f>
        <v>0</v>
      </c>
    </row>
    <row r="4" spans="1:8" ht="17.25" customHeight="1">
      <c r="A4" s="466" t="s">
        <v>5</v>
      </c>
      <c r="B4" s="585" t="str">
        <f>'справка №1-БАЛАНС '!E5</f>
        <v>към 31.12.2009година</v>
      </c>
      <c r="C4" s="585"/>
      <c r="D4" s="585"/>
      <c r="E4" s="314"/>
      <c r="F4" s="465"/>
      <c r="G4" s="542"/>
      <c r="H4" s="545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6"/>
      <c r="H7" s="546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6"/>
      <c r="H8" s="546"/>
    </row>
    <row r="9" spans="1:8" ht="12">
      <c r="A9" s="298" t="s">
        <v>283</v>
      </c>
      <c r="B9" s="299" t="s">
        <v>284</v>
      </c>
      <c r="C9" s="46">
        <v>64</v>
      </c>
      <c r="D9" s="46">
        <v>190</v>
      </c>
      <c r="E9" s="298" t="s">
        <v>285</v>
      </c>
      <c r="F9" s="547" t="s">
        <v>286</v>
      </c>
      <c r="G9" s="548"/>
      <c r="H9" s="548"/>
    </row>
    <row r="10" spans="1:8" ht="12">
      <c r="A10" s="298" t="s">
        <v>287</v>
      </c>
      <c r="B10" s="299" t="s">
        <v>288</v>
      </c>
      <c r="C10" s="46">
        <v>1144</v>
      </c>
      <c r="D10" s="46">
        <v>1610</v>
      </c>
      <c r="E10" s="298" t="s">
        <v>289</v>
      </c>
      <c r="F10" s="547" t="s">
        <v>290</v>
      </c>
      <c r="G10" s="548"/>
      <c r="H10" s="548">
        <v>3</v>
      </c>
    </row>
    <row r="11" spans="1:8" ht="12">
      <c r="A11" s="298" t="s">
        <v>291</v>
      </c>
      <c r="B11" s="299" t="s">
        <v>292</v>
      </c>
      <c r="C11" s="46">
        <v>796</v>
      </c>
      <c r="D11" s="46">
        <v>1197</v>
      </c>
      <c r="E11" s="300" t="s">
        <v>293</v>
      </c>
      <c r="F11" s="547" t="s">
        <v>294</v>
      </c>
      <c r="G11" s="548">
        <v>1166</v>
      </c>
      <c r="H11" s="548">
        <f>4016+21</f>
        <v>4037</v>
      </c>
    </row>
    <row r="12" spans="1:8" ht="12">
      <c r="A12" s="298" t="s">
        <v>295</v>
      </c>
      <c r="B12" s="299" t="s">
        <v>296</v>
      </c>
      <c r="C12" s="46">
        <f>744+30</f>
        <v>774</v>
      </c>
      <c r="D12" s="46">
        <v>1340</v>
      </c>
      <c r="E12" s="300" t="s">
        <v>78</v>
      </c>
      <c r="F12" s="547" t="s">
        <v>297</v>
      </c>
      <c r="G12" s="548">
        <v>170</v>
      </c>
      <c r="H12" s="548">
        <v>140</v>
      </c>
    </row>
    <row r="13" spans="1:18" ht="12">
      <c r="A13" s="298" t="s">
        <v>298</v>
      </c>
      <c r="B13" s="299" t="s">
        <v>299</v>
      </c>
      <c r="C13" s="46">
        <v>191</v>
      </c>
      <c r="D13" s="46">
        <v>196</v>
      </c>
      <c r="E13" s="301" t="s">
        <v>51</v>
      </c>
      <c r="F13" s="549" t="s">
        <v>300</v>
      </c>
      <c r="G13" s="546">
        <f>SUM(G9:G12)</f>
        <v>1336</v>
      </c>
      <c r="H13" s="546">
        <f>SUM(H9:H12)</f>
        <v>4180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301</v>
      </c>
      <c r="B14" s="299" t="s">
        <v>302</v>
      </c>
      <c r="C14" s="46"/>
      <c r="D14" s="46">
        <v>71</v>
      </c>
      <c r="E14" s="300"/>
      <c r="F14" s="550"/>
      <c r="G14" s="551"/>
      <c r="H14" s="551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2" t="s">
        <v>306</v>
      </c>
      <c r="G15" s="548"/>
      <c r="H15" s="548"/>
    </row>
    <row r="16" spans="1:8" ht="12">
      <c r="A16" s="298" t="s">
        <v>307</v>
      </c>
      <c r="B16" s="299" t="s">
        <v>308</v>
      </c>
      <c r="C16" s="47">
        <v>81</v>
      </c>
      <c r="D16" s="47">
        <v>519</v>
      </c>
      <c r="E16" s="298" t="s">
        <v>309</v>
      </c>
      <c r="F16" s="550" t="s">
        <v>310</v>
      </c>
      <c r="G16" s="553"/>
      <c r="H16" s="553"/>
    </row>
    <row r="17" spans="1:8" ht="12">
      <c r="A17" s="302" t="s">
        <v>311</v>
      </c>
      <c r="B17" s="299" t="s">
        <v>312</v>
      </c>
      <c r="C17" s="48"/>
      <c r="D17" s="48">
        <v>371</v>
      </c>
      <c r="E17" s="296"/>
      <c r="F17" s="304"/>
      <c r="G17" s="551"/>
      <c r="H17" s="551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1"/>
      <c r="H18" s="551"/>
    </row>
    <row r="19" spans="1:15" ht="12">
      <c r="A19" s="301" t="s">
        <v>51</v>
      </c>
      <c r="B19" s="303" t="s">
        <v>316</v>
      </c>
      <c r="C19" s="49">
        <f>SUM(C9:C15)+C16</f>
        <v>3050</v>
      </c>
      <c r="D19" s="49">
        <f>SUM(D9:D15)+D16</f>
        <v>5123</v>
      </c>
      <c r="E19" s="304" t="s">
        <v>317</v>
      </c>
      <c r="F19" s="550" t="s">
        <v>318</v>
      </c>
      <c r="G19" s="548">
        <v>1</v>
      </c>
      <c r="H19" s="548">
        <v>28</v>
      </c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319</v>
      </c>
      <c r="F20" s="550" t="s">
        <v>320</v>
      </c>
      <c r="G20" s="548"/>
      <c r="H20" s="548"/>
    </row>
    <row r="21" spans="1:8" ht="24">
      <c r="A21" s="296" t="s">
        <v>321</v>
      </c>
      <c r="B21" s="305"/>
      <c r="C21" s="315"/>
      <c r="D21" s="315"/>
      <c r="E21" s="298" t="s">
        <v>322</v>
      </c>
      <c r="F21" s="550" t="s">
        <v>323</v>
      </c>
      <c r="G21" s="548"/>
      <c r="H21" s="548"/>
    </row>
    <row r="22" spans="1:8" ht="24">
      <c r="A22" s="304" t="s">
        <v>324</v>
      </c>
      <c r="B22" s="305" t="s">
        <v>325</v>
      </c>
      <c r="C22" s="46">
        <v>73</v>
      </c>
      <c r="D22" s="46">
        <v>35</v>
      </c>
      <c r="E22" s="304" t="s">
        <v>326</v>
      </c>
      <c r="F22" s="550" t="s">
        <v>327</v>
      </c>
      <c r="G22" s="548"/>
      <c r="H22" s="548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0" t="s">
        <v>331</v>
      </c>
      <c r="G23" s="548">
        <v>395</v>
      </c>
      <c r="H23" s="548">
        <v>195</v>
      </c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2" t="s">
        <v>334</v>
      </c>
      <c r="G24" s="546">
        <f>SUM(G19:G23)</f>
        <v>396</v>
      </c>
      <c r="H24" s="546">
        <f>SUM(H19:H23)</f>
        <v>223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78</v>
      </c>
      <c r="B25" s="305" t="s">
        <v>335</v>
      </c>
      <c r="C25" s="46">
        <v>13</v>
      </c>
      <c r="D25" s="46">
        <v>20</v>
      </c>
      <c r="E25" s="302"/>
      <c r="F25" s="304"/>
      <c r="G25" s="551"/>
      <c r="H25" s="551"/>
    </row>
    <row r="26" spans="1:14" ht="12">
      <c r="A26" s="301" t="s">
        <v>76</v>
      </c>
      <c r="B26" s="306" t="s">
        <v>336</v>
      </c>
      <c r="C26" s="49">
        <f>SUM(C22:C25)</f>
        <v>86</v>
      </c>
      <c r="D26" s="49">
        <f>SUM(D22:D25)</f>
        <v>55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337</v>
      </c>
      <c r="B28" s="293" t="s">
        <v>338</v>
      </c>
      <c r="C28" s="50">
        <f>C26+C19</f>
        <v>3136</v>
      </c>
      <c r="D28" s="50">
        <f>D26+D19</f>
        <v>5178</v>
      </c>
      <c r="E28" s="127" t="s">
        <v>339</v>
      </c>
      <c r="F28" s="552" t="s">
        <v>340</v>
      </c>
      <c r="G28" s="546">
        <f>G13+G15+G24</f>
        <v>1732</v>
      </c>
      <c r="H28" s="546">
        <f>H13+H15+H24</f>
        <v>4403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2" t="s">
        <v>344</v>
      </c>
      <c r="G30" s="53">
        <f>IF((C28-G28)&gt;0,C28-G28,0)</f>
        <v>1404</v>
      </c>
      <c r="H30" s="53">
        <f>IF((D28-H28)&gt;0,D28-H28,0)</f>
        <v>775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850</v>
      </c>
      <c r="B31" s="306" t="s">
        <v>345</v>
      </c>
      <c r="C31" s="46"/>
      <c r="D31" s="46"/>
      <c r="E31" s="296" t="s">
        <v>853</v>
      </c>
      <c r="F31" s="550" t="s">
        <v>346</v>
      </c>
      <c r="G31" s="548"/>
      <c r="H31" s="548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0" t="s">
        <v>350</v>
      </c>
      <c r="G32" s="548"/>
      <c r="H32" s="548"/>
    </row>
    <row r="33" spans="1:18" ht="12">
      <c r="A33" s="128" t="s">
        <v>351</v>
      </c>
      <c r="B33" s="306" t="s">
        <v>352</v>
      </c>
      <c r="C33" s="49">
        <f>C28+C31+C32</f>
        <v>3136</v>
      </c>
      <c r="D33" s="49">
        <f>D28+D31+D32</f>
        <v>5178</v>
      </c>
      <c r="E33" s="127" t="s">
        <v>353</v>
      </c>
      <c r="F33" s="552" t="s">
        <v>354</v>
      </c>
      <c r="G33" s="53">
        <f>G32+G31+G28</f>
        <v>1732</v>
      </c>
      <c r="H33" s="53">
        <f>H32+H31+H28</f>
        <v>4403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2" t="s">
        <v>358</v>
      </c>
      <c r="G34" s="546">
        <f>IF((C33-G33)&gt;0,C33-G33,0)</f>
        <v>1404</v>
      </c>
      <c r="H34" s="546">
        <f>IF((D33-H33)&gt;0,D33-H33,0)</f>
        <v>775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359</v>
      </c>
      <c r="B35" s="306" t="s">
        <v>360</v>
      </c>
      <c r="C35" s="49">
        <f>C36+C37+C38</f>
        <v>-76</v>
      </c>
      <c r="D35" s="49">
        <f>D36+D37+D38</f>
        <v>-160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1"/>
      <c r="H36" s="551"/>
    </row>
    <row r="37" spans="1:8" ht="24">
      <c r="A37" s="309" t="s">
        <v>363</v>
      </c>
      <c r="B37" s="310" t="s">
        <v>364</v>
      </c>
      <c r="C37" s="430">
        <v>-76</v>
      </c>
      <c r="D37" s="430">
        <v>-160</v>
      </c>
      <c r="E37" s="308"/>
      <c r="F37" s="555"/>
      <c r="G37" s="551"/>
      <c r="H37" s="551"/>
    </row>
    <row r="38" spans="1:8" ht="12">
      <c r="A38" s="311" t="s">
        <v>365</v>
      </c>
      <c r="B38" s="310" t="s">
        <v>366</v>
      </c>
      <c r="C38" s="126"/>
      <c r="D38" s="126"/>
      <c r="E38" s="308"/>
      <c r="F38" s="555"/>
      <c r="G38" s="551"/>
      <c r="H38" s="551"/>
    </row>
    <row r="39" spans="1:18" ht="12">
      <c r="A39" s="312" t="s">
        <v>367</v>
      </c>
      <c r="B39" s="129" t="s">
        <v>368</v>
      </c>
      <c r="C39" s="459">
        <f>+IF((G33-C33-C35)&gt;0,G33-C33-C35,0)</f>
        <v>0</v>
      </c>
      <c r="D39" s="459">
        <f>+IF((H33-D33-D35)&gt;0,H33-D33-D35,0)</f>
        <v>0</v>
      </c>
      <c r="E39" s="313" t="s">
        <v>369</v>
      </c>
      <c r="F39" s="556" t="s">
        <v>370</v>
      </c>
      <c r="G39" s="557">
        <f>IF(G34&gt;0,IF(C35+G34&lt;0,0,C35+G34),IF(C34-C35&lt;0,C35-C34,0))</f>
        <v>1328</v>
      </c>
      <c r="H39" s="557">
        <f>IF(H34&gt;0,IF(D35+H34&lt;0,0,D35+H34),IF(D34-D35&lt;0,D35-D34,0))</f>
        <v>615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6" t="s">
        <v>373</v>
      </c>
      <c r="G40" s="548"/>
      <c r="H40" s="548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69" t="s">
        <v>377</v>
      </c>
      <c r="G41" s="52">
        <f>IF(C39=0,IF(G39-G40&gt;0,G39-G40+C40,0),IF(C39-C40&lt;0,C40-C39+G40,0))</f>
        <v>1328</v>
      </c>
      <c r="H41" s="52">
        <f>IF(D39=0,IF(H39-H40&gt;0,H39-H40+D40,0),IF(D39-D40&lt;0,D40-D39+H40,0))</f>
        <v>615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378</v>
      </c>
      <c r="B42" s="292" t="s">
        <v>379</v>
      </c>
      <c r="C42" s="53">
        <f>C33+C35+C39</f>
        <v>3060</v>
      </c>
      <c r="D42" s="53">
        <f>D33+D35+D39</f>
        <v>5018</v>
      </c>
      <c r="E42" s="128" t="s">
        <v>380</v>
      </c>
      <c r="F42" s="129" t="s">
        <v>381</v>
      </c>
      <c r="G42" s="53">
        <f>G39+G33</f>
        <v>3060</v>
      </c>
      <c r="H42" s="53">
        <f>H39+H33</f>
        <v>5018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574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87" t="s">
        <v>858</v>
      </c>
      <c r="B45" s="587"/>
      <c r="C45" s="587"/>
      <c r="D45" s="587"/>
      <c r="E45" s="587"/>
      <c r="F45" s="558"/>
      <c r="G45" s="425"/>
      <c r="H45" s="425"/>
    </row>
    <row r="46" spans="1:8" ht="12">
      <c r="A46" s="314"/>
      <c r="B46" s="424"/>
      <c r="C46" s="425"/>
      <c r="D46" s="425"/>
      <c r="E46" s="573"/>
      <c r="F46" s="558"/>
      <c r="G46" s="425"/>
      <c r="H46" s="425"/>
    </row>
    <row r="47" spans="1:8" ht="12">
      <c r="A47" s="314"/>
      <c r="B47" s="424"/>
      <c r="C47" s="425"/>
      <c r="D47" s="425"/>
      <c r="E47" s="426"/>
      <c r="F47" s="558"/>
      <c r="G47" s="425"/>
      <c r="H47" s="425"/>
    </row>
    <row r="48" spans="1:15" ht="12">
      <c r="A48" s="502" t="s">
        <v>272</v>
      </c>
      <c r="B48" s="427" t="s">
        <v>870</v>
      </c>
      <c r="C48" s="427" t="s">
        <v>382</v>
      </c>
      <c r="D48" s="582"/>
      <c r="E48" s="582"/>
      <c r="F48" s="582"/>
      <c r="G48" s="582"/>
      <c r="H48" s="582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5"/>
      <c r="D49" s="425" t="s">
        <v>861</v>
      </c>
      <c r="E49" s="558"/>
      <c r="F49" s="558"/>
      <c r="G49" s="561"/>
      <c r="H49" s="561"/>
    </row>
    <row r="50" spans="1:8" ht="12.75" customHeight="1">
      <c r="A50" s="559"/>
      <c r="B50" s="560"/>
      <c r="C50" s="428" t="s">
        <v>780</v>
      </c>
      <c r="D50" s="583"/>
      <c r="E50" s="583"/>
      <c r="F50" s="583"/>
      <c r="G50" s="583"/>
      <c r="H50" s="583"/>
    </row>
    <row r="51" spans="1:8" ht="12">
      <c r="A51" s="562"/>
      <c r="B51" s="558"/>
      <c r="C51" s="425"/>
      <c r="D51" s="425" t="s">
        <v>866</v>
      </c>
      <c r="E51" s="558"/>
      <c r="F51" s="558"/>
      <c r="G51" s="561"/>
      <c r="H51" s="561"/>
    </row>
    <row r="52" spans="1:8" ht="12">
      <c r="A52" s="562"/>
      <c r="B52" s="558"/>
      <c r="C52" s="425"/>
      <c r="D52" s="425"/>
      <c r="E52" s="558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7" bottom="0.38" header="0.5118110236220472" footer="0.18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="90" zoomScaleNormal="90" zoomScalePageLayoutView="0" workbookViewId="0" topLeftCell="A1">
      <selection activeCell="A49" sqref="A4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384</v>
      </c>
      <c r="B4" s="469" t="str">
        <f>'справка №1-БАЛАНС '!E3</f>
        <v>Транскарт АД</v>
      </c>
      <c r="C4" s="539" t="s">
        <v>2</v>
      </c>
      <c r="D4" s="539">
        <f>'справка №1-БАЛАНС '!H3</f>
        <v>130786407</v>
      </c>
      <c r="E4" s="323"/>
      <c r="F4" s="323"/>
    </row>
    <row r="5" spans="1:4" ht="15">
      <c r="A5" s="469" t="s">
        <v>275</v>
      </c>
      <c r="B5" s="469" t="str">
        <f>'справка №1-БАЛАНС '!E4</f>
        <v>неконсолидиран</v>
      </c>
      <c r="C5" s="540" t="s">
        <v>4</v>
      </c>
      <c r="D5" s="539">
        <f>'справка №1-БАЛАНС '!H4</f>
        <v>0</v>
      </c>
    </row>
    <row r="6" spans="1:6" ht="12" customHeight="1">
      <c r="A6" s="470" t="s">
        <v>5</v>
      </c>
      <c r="B6" s="504" t="str">
        <f>'справка №1-БАЛАНС '!E5</f>
        <v>към 31.12.2009година</v>
      </c>
      <c r="C6" s="471"/>
      <c r="D6" s="472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1382</v>
      </c>
      <c r="D10" s="54">
        <f>4399-259</f>
        <v>4140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-644</v>
      </c>
      <c r="D11" s="54">
        <f>-2062-25</f>
        <v>-2087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-960</v>
      </c>
      <c r="D13" s="54">
        <v>-1347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-84</v>
      </c>
      <c r="D14" s="54">
        <v>-465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238</v>
      </c>
      <c r="D19" s="54">
        <v>-2162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-68</v>
      </c>
      <c r="D20" s="55">
        <f>SUM(D10:D19)</f>
        <v>-1921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-3</v>
      </c>
      <c r="D22" s="54">
        <v>-186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>
        <v>26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-3</v>
      </c>
      <c r="D32" s="55">
        <f>SUM(D22:D31)</f>
        <v>-160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80</v>
      </c>
      <c r="D36" s="54">
        <v>2956</v>
      </c>
      <c r="E36" s="130"/>
      <c r="F36" s="130"/>
    </row>
    <row r="37" spans="1:6" ht="12">
      <c r="A37" s="332" t="s">
        <v>438</v>
      </c>
      <c r="B37" s="333" t="s">
        <v>439</v>
      </c>
      <c r="C37" s="54"/>
      <c r="D37" s="54">
        <v>-1553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-10</v>
      </c>
      <c r="D41" s="54">
        <v>-16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70</v>
      </c>
      <c r="D42" s="55">
        <f>SUM(D34:D41)</f>
        <v>1387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-1</v>
      </c>
      <c r="D43" s="55">
        <f>D42+D32+D20</f>
        <v>-694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</v>
      </c>
      <c r="D44" s="132">
        <v>695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0</v>
      </c>
      <c r="D45" s="55">
        <f>D44+D43</f>
        <v>1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8"/>
      <c r="D50" s="588"/>
      <c r="G50" s="133"/>
      <c r="H50" s="133"/>
    </row>
    <row r="51" spans="1:8" ht="12">
      <c r="A51" s="318"/>
      <c r="B51" s="318" t="s">
        <v>861</v>
      </c>
      <c r="C51" s="319"/>
      <c r="D51" s="319"/>
      <c r="G51" s="133"/>
      <c r="H51" s="133"/>
    </row>
    <row r="52" spans="1:8" ht="12">
      <c r="A52" s="318"/>
      <c r="B52" s="436" t="s">
        <v>780</v>
      </c>
      <c r="C52" s="588"/>
      <c r="D52" s="588"/>
      <c r="G52" s="133"/>
      <c r="H52" s="133"/>
    </row>
    <row r="53" spans="1:8" ht="12">
      <c r="A53" s="318"/>
      <c r="B53" s="318" t="s">
        <v>866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5" right="0.27" top="1.1023622047244095" bottom="0.984251968503937" header="0.5118110236220472" footer="0.5118110236220472"/>
  <pageSetup fitToHeight="1" fitToWidth="1" horizontalDpi="600" verticalDpi="600" orientation="portrait" paperSize="9" scale="64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A3" sqref="A3"/>
    </sheetView>
  </sheetViews>
  <sheetFormatPr defaultColWidth="9.25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89" t="s">
        <v>460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0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0" customFormat="1" ht="15" customHeight="1">
      <c r="A3" s="466" t="s">
        <v>1</v>
      </c>
      <c r="B3" s="591" t="str">
        <f>'справка №1-БАЛАНС '!E3</f>
        <v>Транскарт АД</v>
      </c>
      <c r="C3" s="591"/>
      <c r="D3" s="591"/>
      <c r="E3" s="591"/>
      <c r="F3" s="591"/>
      <c r="G3" s="591"/>
      <c r="H3" s="591"/>
      <c r="I3" s="591"/>
      <c r="J3" s="475"/>
      <c r="K3" s="593" t="s">
        <v>2</v>
      </c>
      <c r="L3" s="593"/>
      <c r="M3" s="477">
        <f>'справка №1-БАЛАНС '!H3</f>
        <v>130786407</v>
      </c>
      <c r="N3" s="2"/>
    </row>
    <row r="4" spans="1:15" s="530" customFormat="1" ht="13.5" customHeight="1">
      <c r="A4" s="466" t="s">
        <v>461</v>
      </c>
      <c r="B4" s="591" t="str">
        <f>'справка №1-БАЛАНС 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7">
        <f>'справка №1-БАЛАНС '!H4</f>
        <v>0</v>
      </c>
      <c r="N4" s="3"/>
      <c r="O4" s="3"/>
    </row>
    <row r="5" spans="1:14" s="530" customFormat="1" ht="12.75" customHeight="1">
      <c r="A5" s="466" t="s">
        <v>5</v>
      </c>
      <c r="B5" s="595" t="str">
        <f>'справка №1-БАЛАНС '!E5</f>
        <v>към 31.12.2009година</v>
      </c>
      <c r="C5" s="595"/>
      <c r="D5" s="595"/>
      <c r="E5" s="595"/>
      <c r="F5" s="478"/>
      <c r="G5" s="478"/>
      <c r="H5" s="478"/>
      <c r="I5" s="478"/>
      <c r="J5" s="478"/>
      <c r="K5" s="479"/>
      <c r="L5" s="325"/>
      <c r="M5" s="480" t="s">
        <v>6</v>
      </c>
      <c r="N5" s="4"/>
    </row>
    <row r="6" spans="1:14" s="531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1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 '!H17</f>
        <v>7000</v>
      </c>
      <c r="D11" s="58">
        <f>'справка №1-БАЛАНС '!H19</f>
        <v>0</v>
      </c>
      <c r="E11" s="58">
        <f>'справка №1-БАЛАНС '!H20</f>
        <v>0</v>
      </c>
      <c r="F11" s="58">
        <f>'справка №1-БАЛАНС '!H22</f>
        <v>0</v>
      </c>
      <c r="G11" s="58">
        <f>'справка №1-БАЛАНС '!H23</f>
        <v>0</v>
      </c>
      <c r="H11" s="60"/>
      <c r="I11" s="58">
        <f>'справка №1-БАЛАНС '!H28+'справка №1-БАЛАНС '!H31</f>
        <v>0</v>
      </c>
      <c r="J11" s="58">
        <f>'справка №1-БАЛАНС '!H29+'справка №1-БАЛАНС '!H32</f>
        <v>-7070</v>
      </c>
      <c r="K11" s="60"/>
      <c r="L11" s="344">
        <f>SUM(C11:K11)</f>
        <v>-70</v>
      </c>
      <c r="M11" s="58">
        <f>'справка №1-БАЛАНС 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7000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-7070</v>
      </c>
      <c r="K15" s="61">
        <f t="shared" si="2"/>
        <v>0</v>
      </c>
      <c r="L15" s="344">
        <f t="shared" si="1"/>
        <v>-70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 '!G31</f>
        <v>0</v>
      </c>
      <c r="J16" s="345">
        <f>+'справка №1-БАЛАНС '!G32</f>
        <v>-1328</v>
      </c>
      <c r="K16" s="60"/>
      <c r="L16" s="344">
        <f t="shared" si="1"/>
        <v>-1328</v>
      </c>
      <c r="M16" s="60"/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7000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-8398</v>
      </c>
      <c r="K29" s="59">
        <f t="shared" si="6"/>
        <v>0</v>
      </c>
      <c r="L29" s="344">
        <f t="shared" si="1"/>
        <v>-1398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7000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-8398</v>
      </c>
      <c r="K32" s="59">
        <f t="shared" si="7"/>
        <v>0</v>
      </c>
      <c r="L32" s="344">
        <f t="shared" si="1"/>
        <v>-1398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35" t="s">
        <v>872</v>
      </c>
      <c r="B38" s="19"/>
      <c r="C38" s="15"/>
      <c r="D38" s="590" t="s">
        <v>818</v>
      </c>
      <c r="E38" s="590"/>
      <c r="F38" s="14"/>
      <c r="G38" s="14"/>
      <c r="H38" s="14"/>
      <c r="I38" s="14"/>
      <c r="J38" s="15" t="s">
        <v>862</v>
      </c>
      <c r="K38" s="15"/>
      <c r="L38" s="590"/>
      <c r="M38" s="590"/>
      <c r="N38" s="11"/>
    </row>
    <row r="39" spans="1:13" ht="12">
      <c r="A39" s="534"/>
      <c r="B39" s="535"/>
      <c r="C39" s="536"/>
      <c r="D39" s="536"/>
      <c r="E39" s="536" t="s">
        <v>861</v>
      </c>
      <c r="F39" s="536"/>
      <c r="G39" s="536"/>
      <c r="H39" s="536"/>
      <c r="I39" s="536"/>
      <c r="J39" s="536"/>
      <c r="K39" s="536" t="s">
        <v>866</v>
      </c>
      <c r="L39" s="536"/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D38:E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G9" sqref="G9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384</v>
      </c>
      <c r="B2" s="600"/>
      <c r="C2" s="601" t="str">
        <f>'справка №1-БАЛАНС '!E3</f>
        <v>Транскарт АД</v>
      </c>
      <c r="D2" s="601"/>
      <c r="E2" s="601"/>
      <c r="F2" s="601"/>
      <c r="G2" s="601"/>
      <c r="H2" s="601"/>
      <c r="I2" s="482"/>
      <c r="J2" s="482"/>
      <c r="K2" s="482"/>
      <c r="L2" s="482"/>
      <c r="M2" s="483" t="s">
        <v>2</v>
      </c>
      <c r="N2" s="481"/>
      <c r="O2" s="481">
        <f>'справка №1-БАЛАНС '!H3</f>
        <v>130786407</v>
      </c>
      <c r="P2" s="482"/>
      <c r="Q2" s="482"/>
      <c r="R2" s="524"/>
    </row>
    <row r="3" spans="1:18" ht="15">
      <c r="A3" s="599" t="s">
        <v>5</v>
      </c>
      <c r="B3" s="600"/>
      <c r="C3" s="602" t="str">
        <f>'справка №1-БАЛАНС '!E5</f>
        <v>към 31.12.2009година</v>
      </c>
      <c r="D3" s="602"/>
      <c r="E3" s="602"/>
      <c r="F3" s="484"/>
      <c r="G3" s="484"/>
      <c r="H3" s="484"/>
      <c r="I3" s="484"/>
      <c r="J3" s="484"/>
      <c r="K3" s="484"/>
      <c r="L3" s="484"/>
      <c r="M3" s="607" t="s">
        <v>4</v>
      </c>
      <c r="N3" s="607"/>
      <c r="O3" s="481">
        <f>'справка №1-БАЛАНС '!H4</f>
        <v>0</v>
      </c>
      <c r="P3" s="485"/>
      <c r="Q3" s="485"/>
      <c r="R3" s="525"/>
    </row>
    <row r="4" spans="1:18" ht="12">
      <c r="A4" s="486" t="s">
        <v>523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524</v>
      </c>
    </row>
    <row r="5" spans="1:18" s="100" customFormat="1" ht="30.75" customHeight="1">
      <c r="A5" s="608" t="s">
        <v>464</v>
      </c>
      <c r="B5" s="609"/>
      <c r="C5" s="596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05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5" t="s">
        <v>529</v>
      </c>
      <c r="R5" s="605" t="s">
        <v>530</v>
      </c>
    </row>
    <row r="6" spans="1:18" s="100" customFormat="1" ht="48">
      <c r="A6" s="610"/>
      <c r="B6" s="611"/>
      <c r="C6" s="597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6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6"/>
      <c r="R6" s="606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6055</v>
      </c>
      <c r="E11" s="189">
        <v>3</v>
      </c>
      <c r="F11" s="189">
        <v>74</v>
      </c>
      <c r="G11" s="74">
        <f t="shared" si="2"/>
        <v>5984</v>
      </c>
      <c r="H11" s="65"/>
      <c r="I11" s="65"/>
      <c r="J11" s="74">
        <f t="shared" si="3"/>
        <v>5984</v>
      </c>
      <c r="K11" s="65">
        <v>4900</v>
      </c>
      <c r="L11" s="65">
        <v>716</v>
      </c>
      <c r="M11" s="65">
        <v>72</v>
      </c>
      <c r="N11" s="74">
        <f t="shared" si="4"/>
        <v>5544</v>
      </c>
      <c r="O11" s="65"/>
      <c r="P11" s="65"/>
      <c r="Q11" s="74">
        <f t="shared" si="0"/>
        <v>5544</v>
      </c>
      <c r="R11" s="74">
        <f t="shared" si="1"/>
        <v>440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175</v>
      </c>
      <c r="E13" s="189"/>
      <c r="F13" s="189"/>
      <c r="G13" s="74">
        <f t="shared" si="2"/>
        <v>175</v>
      </c>
      <c r="H13" s="65"/>
      <c r="I13" s="65"/>
      <c r="J13" s="74">
        <f t="shared" si="3"/>
        <v>175</v>
      </c>
      <c r="K13" s="65">
        <v>41</v>
      </c>
      <c r="L13" s="65">
        <v>29</v>
      </c>
      <c r="M13" s="65"/>
      <c r="N13" s="74">
        <f t="shared" si="4"/>
        <v>70</v>
      </c>
      <c r="O13" s="65"/>
      <c r="P13" s="65"/>
      <c r="Q13" s="74">
        <f t="shared" si="0"/>
        <v>70</v>
      </c>
      <c r="R13" s="74">
        <f t="shared" si="1"/>
        <v>105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122</v>
      </c>
      <c r="E14" s="189"/>
      <c r="F14" s="189">
        <v>8</v>
      </c>
      <c r="G14" s="74">
        <f t="shared" si="2"/>
        <v>114</v>
      </c>
      <c r="H14" s="65"/>
      <c r="I14" s="65"/>
      <c r="J14" s="74">
        <f t="shared" si="3"/>
        <v>114</v>
      </c>
      <c r="K14" s="65">
        <v>82</v>
      </c>
      <c r="L14" s="65">
        <v>13</v>
      </c>
      <c r="M14" s="65">
        <v>8</v>
      </c>
      <c r="N14" s="74">
        <f t="shared" si="4"/>
        <v>87</v>
      </c>
      <c r="O14" s="65"/>
      <c r="P14" s="65"/>
      <c r="Q14" s="74">
        <f t="shared" si="0"/>
        <v>87</v>
      </c>
      <c r="R14" s="74">
        <f t="shared" si="1"/>
        <v>27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4" t="s">
        <v>855</v>
      </c>
      <c r="B15" s="374" t="s">
        <v>856</v>
      </c>
      <c r="C15" s="455" t="s">
        <v>857</v>
      </c>
      <c r="D15" s="456"/>
      <c r="E15" s="456"/>
      <c r="F15" s="456"/>
      <c r="G15" s="74">
        <f t="shared" si="2"/>
        <v>0</v>
      </c>
      <c r="H15" s="457"/>
      <c r="I15" s="457"/>
      <c r="J15" s="74">
        <f t="shared" si="3"/>
        <v>0</v>
      </c>
      <c r="K15" s="457"/>
      <c r="L15" s="457"/>
      <c r="M15" s="457"/>
      <c r="N15" s="74">
        <f t="shared" si="4"/>
        <v>0</v>
      </c>
      <c r="O15" s="457"/>
      <c r="P15" s="457"/>
      <c r="Q15" s="74">
        <f t="shared" si="0"/>
        <v>0</v>
      </c>
      <c r="R15" s="74">
        <f t="shared" si="1"/>
        <v>0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6352</v>
      </c>
      <c r="E17" s="194">
        <f>SUM(E9:E16)</f>
        <v>3</v>
      </c>
      <c r="F17" s="194">
        <f>SUM(F9:F16)</f>
        <v>82</v>
      </c>
      <c r="G17" s="74">
        <f t="shared" si="2"/>
        <v>6273</v>
      </c>
      <c r="H17" s="75">
        <f>SUM(H9:H16)</f>
        <v>0</v>
      </c>
      <c r="I17" s="75">
        <f>SUM(I9:I16)</f>
        <v>0</v>
      </c>
      <c r="J17" s="74">
        <f t="shared" si="3"/>
        <v>6273</v>
      </c>
      <c r="K17" s="75">
        <f>SUM(K9:K16)</f>
        <v>5023</v>
      </c>
      <c r="L17" s="75">
        <f>SUM(L9:L16)</f>
        <v>758</v>
      </c>
      <c r="M17" s="75">
        <f>SUM(M9:M16)</f>
        <v>80</v>
      </c>
      <c r="N17" s="74">
        <f t="shared" si="4"/>
        <v>5701</v>
      </c>
      <c r="O17" s="75">
        <f>SUM(O9:O16)</f>
        <v>0</v>
      </c>
      <c r="P17" s="75">
        <f>SUM(P9:P16)</f>
        <v>0</v>
      </c>
      <c r="Q17" s="74">
        <f t="shared" si="5"/>
        <v>5701</v>
      </c>
      <c r="R17" s="74">
        <f t="shared" si="6"/>
        <v>572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v>103</v>
      </c>
      <c r="E21" s="189"/>
      <c r="F21" s="189"/>
      <c r="G21" s="74">
        <f t="shared" si="2"/>
        <v>103</v>
      </c>
      <c r="H21" s="65"/>
      <c r="I21" s="65"/>
      <c r="J21" s="74">
        <f t="shared" si="3"/>
        <v>103</v>
      </c>
      <c r="K21" s="65">
        <v>79</v>
      </c>
      <c r="L21" s="65">
        <v>13</v>
      </c>
      <c r="M21" s="65"/>
      <c r="N21" s="74">
        <f t="shared" si="4"/>
        <v>92</v>
      </c>
      <c r="O21" s="65"/>
      <c r="P21" s="65"/>
      <c r="Q21" s="74">
        <f t="shared" si="5"/>
        <v>92</v>
      </c>
      <c r="R21" s="74">
        <f t="shared" si="6"/>
        <v>11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783</v>
      </c>
      <c r="E22" s="189"/>
      <c r="F22" s="189"/>
      <c r="G22" s="74">
        <f t="shared" si="2"/>
        <v>783</v>
      </c>
      <c r="H22" s="65"/>
      <c r="I22" s="65"/>
      <c r="J22" s="74">
        <f t="shared" si="3"/>
        <v>783</v>
      </c>
      <c r="K22" s="65">
        <v>732</v>
      </c>
      <c r="L22" s="65">
        <v>25</v>
      </c>
      <c r="M22" s="65"/>
      <c r="N22" s="74">
        <f t="shared" si="4"/>
        <v>757</v>
      </c>
      <c r="O22" s="65"/>
      <c r="P22" s="65"/>
      <c r="Q22" s="74">
        <f t="shared" si="5"/>
        <v>757</v>
      </c>
      <c r="R22" s="74">
        <f t="shared" si="6"/>
        <v>26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886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886</v>
      </c>
      <c r="H25" s="66">
        <f t="shared" si="7"/>
        <v>0</v>
      </c>
      <c r="I25" s="66">
        <f t="shared" si="7"/>
        <v>0</v>
      </c>
      <c r="J25" s="67">
        <f t="shared" si="3"/>
        <v>886</v>
      </c>
      <c r="K25" s="66">
        <f t="shared" si="7"/>
        <v>811</v>
      </c>
      <c r="L25" s="66">
        <f t="shared" si="7"/>
        <v>38</v>
      </c>
      <c r="M25" s="66">
        <f t="shared" si="7"/>
        <v>0</v>
      </c>
      <c r="N25" s="67">
        <f t="shared" si="4"/>
        <v>849</v>
      </c>
      <c r="O25" s="66">
        <f t="shared" si="7"/>
        <v>0</v>
      </c>
      <c r="P25" s="66">
        <f t="shared" si="7"/>
        <v>0</v>
      </c>
      <c r="Q25" s="67">
        <f t="shared" si="5"/>
        <v>849</v>
      </c>
      <c r="R25" s="67">
        <f t="shared" si="6"/>
        <v>37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851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2" customFormat="1" ht="12">
      <c r="A39" s="370" t="s">
        <v>602</v>
      </c>
      <c r="B39" s="370" t="s">
        <v>603</v>
      </c>
      <c r="C39" s="369" t="s">
        <v>604</v>
      </c>
      <c r="D39" s="570"/>
      <c r="E39" s="570"/>
      <c r="F39" s="570"/>
      <c r="G39" s="74">
        <f t="shared" si="2"/>
        <v>0</v>
      </c>
      <c r="H39" s="570"/>
      <c r="I39" s="570"/>
      <c r="J39" s="74">
        <f t="shared" si="3"/>
        <v>0</v>
      </c>
      <c r="K39" s="570"/>
      <c r="L39" s="570"/>
      <c r="M39" s="570"/>
      <c r="N39" s="74">
        <f t="shared" si="4"/>
        <v>0</v>
      </c>
      <c r="O39" s="570"/>
      <c r="P39" s="570"/>
      <c r="Q39" s="74">
        <f t="shared" si="9"/>
        <v>0</v>
      </c>
      <c r="R39" s="74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7238</v>
      </c>
      <c r="E40" s="438">
        <f>E17+E18+E19+E25+E38+E39</f>
        <v>3</v>
      </c>
      <c r="F40" s="438">
        <f aca="true" t="shared" si="13" ref="F40:R40">F17+F18+F19+F25+F38+F39</f>
        <v>82</v>
      </c>
      <c r="G40" s="438">
        <f t="shared" si="13"/>
        <v>7159</v>
      </c>
      <c r="H40" s="438">
        <f t="shared" si="13"/>
        <v>0</v>
      </c>
      <c r="I40" s="438">
        <f t="shared" si="13"/>
        <v>0</v>
      </c>
      <c r="J40" s="438">
        <f t="shared" si="13"/>
        <v>7159</v>
      </c>
      <c r="K40" s="438">
        <f t="shared" si="13"/>
        <v>5834</v>
      </c>
      <c r="L40" s="438">
        <f t="shared" si="13"/>
        <v>796</v>
      </c>
      <c r="M40" s="438">
        <f t="shared" si="13"/>
        <v>80</v>
      </c>
      <c r="N40" s="438">
        <f t="shared" si="13"/>
        <v>6550</v>
      </c>
      <c r="O40" s="438">
        <f t="shared" si="13"/>
        <v>0</v>
      </c>
      <c r="P40" s="438">
        <f t="shared" si="13"/>
        <v>0</v>
      </c>
      <c r="Q40" s="438">
        <f t="shared" si="13"/>
        <v>6550</v>
      </c>
      <c r="R40" s="438">
        <f t="shared" si="13"/>
        <v>609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435" t="s">
        <v>872</v>
      </c>
      <c r="C44" s="354"/>
      <c r="D44" s="355"/>
      <c r="E44" s="355"/>
      <c r="F44" s="355"/>
      <c r="G44" s="351"/>
      <c r="H44" s="356" t="s">
        <v>382</v>
      </c>
      <c r="I44" s="356"/>
      <c r="J44" s="356"/>
      <c r="K44" s="598"/>
      <c r="L44" s="598"/>
      <c r="M44" s="598"/>
      <c r="N44" s="598"/>
      <c r="O44" s="603" t="s">
        <v>780</v>
      </c>
      <c r="P44" s="604"/>
      <c r="Q44" s="604"/>
      <c r="R44" s="604"/>
    </row>
    <row r="45" spans="1:18" ht="12">
      <c r="A45" s="349"/>
      <c r="B45" s="349"/>
      <c r="C45" s="349"/>
      <c r="D45" s="529"/>
      <c r="E45" s="529"/>
      <c r="F45" s="529"/>
      <c r="G45" s="349"/>
      <c r="H45" s="349"/>
      <c r="I45" s="349" t="s">
        <v>863</v>
      </c>
      <c r="J45" s="349"/>
      <c r="K45" s="349"/>
      <c r="L45" s="349"/>
      <c r="M45" s="349"/>
      <c r="N45" s="349"/>
      <c r="O45" s="349" t="s">
        <v>867</v>
      </c>
      <c r="P45" s="349"/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="120" zoomScaleNormal="120" zoomScalePageLayoutView="0" workbookViewId="0" topLeftCell="A1">
      <selection activeCell="C104" activeCellId="2" sqref="D88 C96 C10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608</v>
      </c>
      <c r="B1" s="615"/>
      <c r="C1" s="615"/>
      <c r="D1" s="615"/>
      <c r="E1" s="615"/>
      <c r="F1" s="137"/>
    </row>
    <row r="2" spans="1:6" ht="12">
      <c r="A2" s="489"/>
      <c r="B2" s="490"/>
      <c r="C2" s="491"/>
      <c r="D2" s="107"/>
      <c r="E2" s="523"/>
      <c r="F2" s="99"/>
    </row>
    <row r="3" spans="1:15" ht="13.5" customHeight="1">
      <c r="A3" s="492" t="s">
        <v>384</v>
      </c>
      <c r="B3" s="618" t="str">
        <f>'справка №1-БАЛАНС '!E3</f>
        <v>Транскарт АД</v>
      </c>
      <c r="C3" s="619"/>
      <c r="D3" s="524" t="s">
        <v>2</v>
      </c>
      <c r="E3" s="107">
        <f>'справка №1-БАЛАНС '!H3</f>
        <v>130786407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5</v>
      </c>
      <c r="B4" s="616" t="str">
        <f>'справка №1-БАЛАНС '!E5</f>
        <v>към 31.12.2009година</v>
      </c>
      <c r="C4" s="617"/>
      <c r="D4" s="525" t="s">
        <v>4</v>
      </c>
      <c r="E4" s="107">
        <f>'справка №1-БАЛАНС '!H4</f>
        <v>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609</v>
      </c>
      <c r="B5" s="495"/>
      <c r="C5" s="496"/>
      <c r="D5" s="107"/>
      <c r="E5" s="497" t="s">
        <v>610</v>
      </c>
    </row>
    <row r="6" spans="1:14" s="100" customFormat="1" ht="12">
      <c r="A6" s="389" t="s">
        <v>464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>
        <v>218</v>
      </c>
      <c r="D21" s="108">
        <v>218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258</v>
      </c>
      <c r="D24" s="119">
        <f>SUM(D25:D27)</f>
        <v>258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>
        <v>258</v>
      </c>
      <c r="D26" s="108">
        <v>258</v>
      </c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>
        <v>221</v>
      </c>
      <c r="D28" s="108">
        <v>221</v>
      </c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/>
      <c r="D29" s="108"/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19</v>
      </c>
      <c r="D33" s="105">
        <f>SUM(D34:D37)</f>
        <v>19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>
        <v>19</v>
      </c>
      <c r="D35" s="108">
        <v>19</v>
      </c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31</v>
      </c>
      <c r="D38" s="105">
        <f>SUM(D39:D42)</f>
        <v>31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>
        <v>31</v>
      </c>
      <c r="D42" s="108">
        <v>31</v>
      </c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529</v>
      </c>
      <c r="D43" s="104">
        <f>D24+D28+D29+D31+D30+D32+D33+D38</f>
        <v>529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747</v>
      </c>
      <c r="D44" s="103">
        <f>D43+D21+D19+D9</f>
        <v>747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/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2614</v>
      </c>
      <c r="D71" s="105">
        <f>SUM(D72:D74)</f>
        <v>2614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>
        <v>2614</v>
      </c>
      <c r="D72" s="108">
        <v>2614</v>
      </c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620</v>
      </c>
      <c r="D85" s="104">
        <f>SUM(D86:D90)+D94</f>
        <v>620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579</v>
      </c>
      <c r="D87" s="108">
        <v>579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/>
      <c r="D88" s="108"/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>
        <v>38</v>
      </c>
      <c r="D89" s="108">
        <v>38</v>
      </c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/>
      <c r="D92" s="108"/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/>
      <c r="D93" s="108"/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>
        <v>3</v>
      </c>
      <c r="D94" s="108">
        <v>3</v>
      </c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>
        <v>207</v>
      </c>
      <c r="D95" s="108">
        <v>207</v>
      </c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3441</v>
      </c>
      <c r="D96" s="104">
        <f>D85+D80+D75+D71+D95</f>
        <v>3441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3441</v>
      </c>
      <c r="D97" s="104">
        <f>D96+D68+D66</f>
        <v>3441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464</v>
      </c>
      <c r="B100" s="395" t="s">
        <v>465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>
        <v>73</v>
      </c>
      <c r="D104" s="108"/>
      <c r="E104" s="108"/>
      <c r="F104" s="125">
        <f>C104+D104-E104</f>
        <v>73</v>
      </c>
    </row>
    <row r="105" spans="1:16" ht="12">
      <c r="A105" s="412" t="s">
        <v>776</v>
      </c>
      <c r="B105" s="395" t="s">
        <v>777</v>
      </c>
      <c r="C105" s="103">
        <f>SUM(C102:C104)</f>
        <v>73</v>
      </c>
      <c r="D105" s="103">
        <f>SUM(D102:D104)</f>
        <v>0</v>
      </c>
      <c r="E105" s="103">
        <f>SUM(E102:E104)</f>
        <v>0</v>
      </c>
      <c r="F105" s="103">
        <f>SUM(F102:F104)</f>
        <v>73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779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873</v>
      </c>
      <c r="B109" s="613"/>
      <c r="C109" s="613" t="s">
        <v>382</v>
      </c>
      <c r="D109" s="613"/>
      <c r="E109" s="613"/>
      <c r="F109" s="613"/>
    </row>
    <row r="110" spans="1:6" ht="12">
      <c r="A110" s="385"/>
      <c r="B110" s="386"/>
      <c r="C110" s="385" t="s">
        <v>863</v>
      </c>
      <c r="D110" s="385"/>
      <c r="E110" s="385"/>
      <c r="F110" s="387"/>
    </row>
    <row r="111" spans="1:6" ht="12">
      <c r="A111" s="385"/>
      <c r="B111" s="386"/>
      <c r="C111" s="612" t="s">
        <v>780</v>
      </c>
      <c r="D111" s="612"/>
      <c r="E111" s="612"/>
      <c r="F111" s="612"/>
    </row>
    <row r="112" spans="1:6" ht="12">
      <c r="A112" s="349"/>
      <c r="B112" s="388"/>
      <c r="C112" s="349" t="s">
        <v>866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27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H31" sqref="H31"/>
    </sheetView>
  </sheetViews>
  <sheetFormatPr defaultColWidth="10.75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384</v>
      </c>
      <c r="B4" s="620" t="str">
        <f>'справка №1-БАЛАНС '!E3</f>
        <v>Транскарт АД</v>
      </c>
      <c r="C4" s="620"/>
      <c r="D4" s="620"/>
      <c r="E4" s="620"/>
      <c r="F4" s="620"/>
      <c r="G4" s="626" t="s">
        <v>2</v>
      </c>
      <c r="H4" s="626"/>
      <c r="I4" s="499">
        <f>'справка №1-БАЛАНС '!H3</f>
        <v>130786407</v>
      </c>
    </row>
    <row r="5" spans="1:9" ht="15">
      <c r="A5" s="500" t="s">
        <v>5</v>
      </c>
      <c r="B5" s="621" t="str">
        <f>'справка №1-БАЛАНС '!E5</f>
        <v>към 31.12.2009година</v>
      </c>
      <c r="C5" s="621"/>
      <c r="D5" s="621"/>
      <c r="E5" s="621"/>
      <c r="F5" s="621"/>
      <c r="G5" s="624" t="s">
        <v>4</v>
      </c>
      <c r="H5" s="625"/>
      <c r="I5" s="499">
        <f>'справка №1-БАЛАНС '!H4</f>
        <v>0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783</v>
      </c>
    </row>
    <row r="7" spans="1:9" s="518" customFormat="1" ht="12">
      <c r="A7" s="140" t="s">
        <v>464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18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19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19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595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564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9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581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418" t="s">
        <v>873</v>
      </c>
      <c r="B30" s="623"/>
      <c r="C30" s="623"/>
      <c r="D30" s="458" t="s">
        <v>818</v>
      </c>
      <c r="E30" s="622"/>
      <c r="F30" s="622"/>
      <c r="G30" s="622"/>
      <c r="H30" s="420" t="s">
        <v>780</v>
      </c>
      <c r="I30" s="622"/>
      <c r="J30" s="622"/>
    </row>
    <row r="31" spans="1:9" s="519" customFormat="1" ht="12">
      <c r="A31" s="349"/>
      <c r="B31" s="388"/>
      <c r="C31" s="349"/>
      <c r="D31" s="521" t="s">
        <v>861</v>
      </c>
      <c r="E31" s="521"/>
      <c r="F31" s="521"/>
      <c r="G31" s="521"/>
      <c r="H31" s="521" t="s">
        <v>866</v>
      </c>
      <c r="I31" s="521"/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2" top="0.6" bottom="0.4724409448818898" header="0.45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52" sqref="A152"/>
    </sheetView>
  </sheetViews>
  <sheetFormatPr defaultColWidth="10.75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7" t="str">
        <f>'справка №1-БАЛАНС '!E3</f>
        <v>Транскарт АД</v>
      </c>
      <c r="C5" s="627"/>
      <c r="D5" s="627"/>
      <c r="E5" s="568" t="s">
        <v>2</v>
      </c>
      <c r="F5" s="451">
        <f>'справка №1-БАЛАНС '!H3</f>
        <v>130786407</v>
      </c>
    </row>
    <row r="6" spans="1:13" ht="15" customHeight="1">
      <c r="A6" s="27" t="s">
        <v>821</v>
      </c>
      <c r="B6" s="628" t="str">
        <f>'справка №1-БАЛАНС '!E5</f>
        <v>към 31.12.2009година</v>
      </c>
      <c r="C6" s="628"/>
      <c r="D6" s="508"/>
      <c r="E6" s="567" t="s">
        <v>4</v>
      </c>
      <c r="F6" s="509">
        <f>'справка №1-БАЛАНС '!H4</f>
        <v>0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3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441"/>
      <c r="D12" s="441"/>
      <c r="E12" s="441"/>
      <c r="F12" s="443">
        <v>50</v>
      </c>
    </row>
    <row r="13" spans="1:6" ht="12.75">
      <c r="A13" s="36">
        <v>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50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50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2"/>
      <c r="B150" s="43"/>
      <c r="C150" s="44"/>
      <c r="D150" s="44"/>
      <c r="E150" s="44"/>
      <c r="F150" s="44"/>
    </row>
    <row r="151" spans="1:5" ht="12.75">
      <c r="A151" s="452" t="s">
        <v>873</v>
      </c>
      <c r="B151" s="453"/>
      <c r="C151" s="513" t="s">
        <v>382</v>
      </c>
      <c r="D151" s="513"/>
      <c r="E151" s="513" t="s">
        <v>780</v>
      </c>
    </row>
    <row r="152" spans="1:6" ht="12.75">
      <c r="A152" s="515"/>
      <c r="B152" s="516"/>
      <c r="C152" s="515" t="s">
        <v>861</v>
      </c>
      <c r="D152" s="515"/>
      <c r="E152" s="515" t="s">
        <v>866</v>
      </c>
      <c r="F152" s="515"/>
    </row>
    <row r="153" spans="1:2" ht="12.75">
      <c r="A153" s="515"/>
      <c r="B153" s="516"/>
    </row>
    <row r="154" ht="12.75">
      <c r="E154" s="515"/>
    </row>
  </sheetData>
  <sheetProtection/>
  <mergeCells count="2">
    <mergeCell ref="B5:D5"/>
    <mergeCell ref="B6:C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133:F147 C116:F130 C99:F113 C82:F96 C63:F77 C46:F60 C29:F43">
      <formula1>0</formula1>
      <formula2>9999999999999990</formula2>
    </dataValidation>
  </dataValidations>
  <printOptions horizontalCentered="1" verticalCentered="1"/>
  <pageMargins left="0.23" right="0.25" top="0.17" bottom="0.5118110236220472" header="0.33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StanevaH</cp:lastModifiedBy>
  <cp:lastPrinted>2010-03-30T09:14:36Z</cp:lastPrinted>
  <dcterms:created xsi:type="dcterms:W3CDTF">2000-06-29T12:02:40Z</dcterms:created>
  <dcterms:modified xsi:type="dcterms:W3CDTF">2010-03-31T07:45:27Z</dcterms:modified>
  <cp:category/>
  <cp:version/>
  <cp:contentType/>
  <cp:contentStatus/>
</cp:coreProperties>
</file>