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70" yWindow="195" windowWidth="7410" windowHeight="9915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<sst xmlns="http://schemas.openxmlformats.org/spreadsheetml/2006/main" count="1055" uniqueCount="875">
  <si>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</si>
  <si>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</si>
  <si>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</si>
  <si>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</si>
  <si>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</si>
  <si>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</si>
  <si>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</si>
  <si>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</si>
  <si>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</si>
  <si>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</si>
  <si>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</si>
  <si>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</si>
  <si>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</si>
  <si>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</si>
  <si>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</si>
  <si>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</si>
  <si>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</si>
  <si>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</si>
  <si>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</si>
  <si>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</si>
  <si>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</si>
  <si>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</si>
  <si>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</si>
  <si>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</si>
  <si>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</si>
  <si>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</si>
  <si>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</si>
  <si>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</si>
  <si>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</si>
  <si>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</si>
  <si>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</si>
  <si>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</si>
  <si>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</si>
  <si>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</si>
  <si>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</si>
  <si>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</si>
  <si>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</si>
  <si>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</si>
  <si>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</si>
  <si>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</si>
  <si>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</si>
  <si>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</si>
  <si>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</si>
  <si>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</si>
  <si>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</si>
  <si>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</si>
  <si>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</si>
  <si>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</si>
  <si>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</si>
  <si>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</si>
  <si>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</si>
  <si>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</si>
  <si>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</si>
  <si>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</si>
  <si>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</si>
  <si>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</si>
  <si>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</si>
  <si>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</si>
  <si>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</si>
  <si>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</si>
  <si>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</si>
  <si>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</si>
  <si>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</si>
  <si>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</si>
  <si>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</si>
  <si>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</si>
  <si>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</si>
  <si>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</si>
  <si>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</si>
  <si>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</si>
  <si>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</si>
  <si>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</si>
  <si>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</si>
  <si>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</si>
  <si>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</si>
  <si>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</si>
  <si>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</si>
  <si>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</si>
  <si>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</si>
  <si>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</si>
  <si>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</si>
  <si>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</si>
  <si>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</si>
  <si>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</si>
  <si>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</si>
  <si>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</si>
  <si>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</si>
  <si>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</si>
  <si>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</si>
  <si>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</si>
  <si>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</si>
  <si>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</si>
  <si>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</si>
  <si>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</si>
  <si>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</si>
  <si>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</si>
  <si>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</si>
  <si>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</si>
  <si>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</si>
  <si>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</si>
  <si>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</si>
  <si>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</si>
  <si>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</si>
  <si>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</si>
  <si>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</si>
  <si>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</si>
  <si>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</si>
  <si>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</si>
  <si>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</si>
  <si>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</si>
  <si>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</si>
  <si>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</si>
  <si>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</si>
  <si>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</si>
  <si>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</si>
  <si>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</si>
  <si>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</si>
  <si>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</si>
  <si>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</si>
  <si>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</si>
  <si>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</si>
  <si>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</si>
  <si>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</si>
  <si>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</si>
  <si>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</si>
  <si>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</si>
  <si>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</si>
  <si>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</si>
  <si>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</si>
  <si>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</si>
  <si>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</si>
  <si>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</si>
  <si>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</si>
  <si>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</si>
  <si>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</si>
  <si>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</si>
  <si>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</si>
  <si>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</si>
  <si>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</si>
  <si>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</si>
  <si>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</si>
  <si>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</si>
  <si>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</si>
  <si>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</si>
  <si>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</si>
  <si>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</si>
  <si>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</si>
  <si>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</si>
  <si>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</si>
  <si>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</si>
  <si>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</si>
  <si>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</si>
  <si>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</si>
  <si>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</si>
  <si>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</si>
  <si>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</si>
  <si>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</si>
  <si>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</si>
  <si>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</si>
  <si>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</si>
  <si>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</si>
  <si>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</si>
  <si>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</si>
  <si>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</si>
  <si>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</si>
  <si>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</si>
  <si>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</si>
  <si>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</si>
  <si>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</si>
  <si>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</si>
  <si>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</si>
  <si>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</si>
  <si>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</si>
  <si>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</si>
  <si>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</si>
  <si>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</si>
  <si>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</si>
  <si>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</si>
  <si>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</si>
  <si>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</si>
  <si>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</si>
  <si>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</si>
  <si>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</si>
  <si>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</si>
  <si>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</si>
  <si>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</si>
  <si>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</si>
  <si>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</si>
  <si>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</si>
  <si>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</si>
  <si>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</si>
  <si>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</si>
  <si>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</si>
  <si>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</si>
  <si>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</si>
  <si>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</si>
  <si>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</si>
  <si>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</si>
  <si>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</si>
  <si>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</si>
  <si>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</si>
  <si>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</si>
  <si>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</si>
  <si>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</si>
  <si>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</si>
  <si>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</si>
  <si>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</si>
  <si>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</si>
  <si>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</si>
  <si>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</si>
  <si>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</si>
  <si>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</si>
  <si>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</si>
  <si>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</si>
  <si>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</si>
  <si>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</si>
  <si>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</si>
  <si>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</si>
  <si>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</si>
  <si>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</si>
  <si>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</si>
  <si>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</si>
  <si>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</si>
  <si>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</si>
  <si>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</si>
  <si>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</si>
  <si>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</si>
  <si>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</si>
  <si>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</si>
  <si>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</si>
  <si>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</si>
  <si>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</si>
  <si>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</si>
  <si>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</si>
  <si>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</si>
  <si>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</si>
  <si>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</si>
  <si>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</si>
  <si>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</si>
  <si>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</si>
  <si>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</si>
  <si>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</si>
  <si>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</si>
  <si>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</si>
  <si>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</si>
  <si>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</si>
  <si>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</si>
  <si>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</si>
  <si>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</si>
  <si>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</si>
  <si>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</si>
  <si>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</si>
  <si>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</si>
  <si>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</si>
  <si>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</si>
  <si>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</si>
  <si>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</si>
  <si>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</si>
  <si>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</si>
  <si>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</si>
  <si>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</si>
  <si>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</si>
  <si>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</si>
  <si>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</si>
  <si>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</si>
  <si>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</si>
  <si>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</si>
  <si>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</si>
  <si>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</si>
  <si>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</si>
  <si>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</si>
  <si>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</si>
  <si>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</si>
  <si>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</si>
  <si>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</si>
  <si>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</si>
  <si>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</si>
  <si>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</si>
  <si>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</si>
  <si>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</si>
  <si>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</si>
  <si>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</si>
  <si>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</si>
  <si>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</si>
  <si>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</si>
  <si>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</si>
  <si>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</si>
  <si>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</si>
  <si>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</si>
  <si>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</si>
  <si>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</si>
  <si>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</si>
  <si>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</si>
  <si>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</si>
  <si>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</si>
  <si>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</si>
  <si>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</si>
  <si>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</si>
  <si>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</si>
  <si>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</si>
  <si>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</si>
  <si>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</si>
  <si>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</si>
  <si>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</si>
  <si>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</si>
  <si>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</si>
  <si>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</si>
  <si>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</si>
  <si>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</si>
  <si>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</si>
  <si>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</si>
  <si>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</si>
  <si>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</si>
  <si>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</si>
  <si>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</si>
  <si>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</si>
  <si>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</si>
  <si>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</si>
  <si>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</si>
  <si>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</si>
  <si>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</si>
  <si>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</si>
  <si>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</si>
  <si>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</si>
  <si>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</si>
  <si>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</si>
  <si>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</si>
  <si>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</si>
  <si>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</si>
  <si>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</si>
  <si>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</si>
  <si>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</si>
  <si>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</si>
  <si>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</si>
  <si>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</si>
  <si>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</si>
  <si>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</si>
  <si>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</si>
  <si>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</si>
  <si>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</si>
  <si>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</si>
  <si>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</si>
  <si>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</si>
  <si>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</si>
  <si>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</si>
  <si>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</si>
  <si>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</si>
  <si>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</si>
  <si>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</si>
  <si>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</si>
  <si>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</si>
  <si>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</si>
  <si>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</si>
  <si>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</si>
  <si>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</si>
  <si>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</si>
  <si>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</si>
  <si>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</si>
  <si>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</si>
  <si>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</si>
  <si>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</si>
  <si>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</si>
  <si>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</si>
  <si>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</si>
  <si>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</si>
  <si>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</si>
  <si>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</si>
  <si>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</si>
  <si>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</si>
  <si>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</si>
  <si>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</si>
  <si>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</si>
  <si>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</si>
  <si>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</si>
  <si>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</si>
  <si>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</si>
  <si>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</si>
  <si>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</si>
  <si>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</si>
  <si>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</si>
  <si>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</si>
  <si>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</si>
  <si>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</si>
  <si>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</si>
  <si>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</si>
  <si>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</si>
  <si>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</si>
  <si>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</si>
  <si>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</si>
  <si>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</si>
  <si>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</si>
  <si>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</si>
  <si>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</si>
  <si>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</si>
  <si>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</si>
  <si>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</si>
  <si>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</si>
  <si>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</si>
  <si>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</si>
  <si>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</si>
  <si>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</si>
  <si>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</si>
  <si>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</si>
  <si>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</si>
  <si>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</si>
  <si>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</si>
  <si>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</si>
  <si>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</si>
  <si>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</si>
  <si>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</si>
  <si>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</si>
  <si>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</si>
  <si>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</si>
  <si>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</si>
  <si>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</si>
  <si>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</si>
  <si>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</si>
  <si>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</si>
  <si>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</si>
  <si>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</si>
  <si>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</si>
  <si>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</si>
  <si>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</si>
  <si>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</si>
  <si>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</si>
  <si>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</si>
  <si>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</si>
  <si>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</si>
  <si>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</si>
  <si>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</si>
  <si>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</si>
  <si>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</si>
  <si>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</si>
  <si>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</si>
  <si>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</si>
  <si>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</si>
  <si>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</si>
  <si>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</si>
  <si>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</si>
  <si>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</si>
  <si>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</si>
  <si>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</si>
  <si>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</si>
  <si>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</si>
  <si>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</si>
  <si>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</si>
  <si>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</si>
  <si>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</si>
  <si>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</si>
  <si>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</si>
  <si>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</si>
  <si>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</si>
  <si>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</si>
  <si>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</si>
  <si>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</si>
  <si>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</si>
  <si>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</si>
  <si>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</si>
  <si>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</si>
  <si>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</si>
  <si>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</si>
  <si>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</si>
  <si>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</si>
  <si>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</si>
  <si>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</si>
  <si>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</si>
  <si>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</si>
  <si>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</si>
  <si>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</si>
  <si>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</si>
  <si>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</si>
  <si>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</si>
  <si>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</si>
  <si>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</si>
  <si>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</si>
  <si>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</si>
  <si>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</si>
  <si>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</si>
  <si>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</si>
  <si>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</si>
  <si>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</si>
  <si>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</si>
  <si>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</si>
  <si>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</si>
  <si>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</si>
  <si>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</si>
  <si>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</si>
  <si>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</si>
  <si>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</si>
  <si>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</si>
  <si>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</si>
  <si>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</si>
  <si>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</si>
  <si>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</si>
  <si>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</si>
  <si>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</si>
  <si>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</si>
  <si>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</si>
  <si>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</si>
  <si>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</si>
  <si>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</si>
  <si>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</si>
  <si>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</si>
  <si>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</si>
  <si>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</si>
  <si>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</si>
  <si>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</si>
  <si>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</si>
  <si>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</si>
  <si>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</si>
  <si>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</si>
  <si>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</si>
  <si>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</si>
  <si>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</si>
  <si>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</si>
  <si>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</si>
  <si>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</si>
  <si>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</si>
  <si>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</si>
  <si>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</si>
  <si>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</si>
  <si>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</si>
  <si>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</si>
  <si>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</si>
  <si>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</si>
  <si>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</si>
  <si>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</si>
  <si>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</si>
  <si>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</si>
  <si>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</si>
  <si>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</si>
  <si>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</si>
  <si>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</si>
  <si>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</si>
  <si>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</si>
  <si>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</si>
  <si>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</si>
  <si>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</si>
  <si>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</si>
  <si>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</si>
  <si>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</si>
  <si>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</si>
  <si>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</si>
  <si>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</si>
  <si>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</si>
  <si>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</si>
  <si>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</si>
  <si>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</si>
  <si>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</si>
  <si>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</si>
  <si>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</si>
  <si>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</si>
  <si>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</si>
  <si>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</si>
  <si>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</si>
  <si>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</si>
  <si>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</si>
  <si>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</si>
  <si>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</si>
  <si>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</si>
  <si>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</si>
  <si>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</si>
  <si>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</si>
  <si>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</si>
  <si>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</si>
  <si>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</si>
  <si>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</si>
  <si>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</si>
  <si>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</si>
  <si>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</si>
  <si>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</si>
  <si>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</si>
  <si>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</si>
  <si>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</si>
  <si>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</si>
  <si>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</si>
  <si>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</si>
  <si>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</si>
  <si>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</si>
  <si>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</si>
  <si>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</si>
  <si>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</si>
  <si>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</si>
  <si>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</si>
  <si>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</si>
  <si>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</si>
  <si>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</si>
  <si>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</si>
  <si>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</si>
  <si>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</si>
  <si>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</si>
  <si>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</si>
  <si>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</si>
  <si>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</si>
  <si>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</si>
  <si>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</si>
  <si>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</si>
  <si>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</si>
  <si>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</si>
  <si>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</si>
  <si>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</si>
  <si>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</si>
  <si>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</si>
  <si>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</si>
  <si>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</si>
  <si>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</si>
  <si>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</si>
  <si>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</si>
  <si>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</si>
  <si>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</si>
  <si>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</si>
  <si>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</si>
  <si>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</si>
  <si>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</si>
  <si>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</si>
  <si>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</si>
  <si>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</si>
  <si>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</si>
  <si>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</si>
  <si>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</si>
  <si>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</si>
  <si>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</si>
  <si>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</si>
  <si>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</si>
  <si>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</si>
  <si>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</si>
  <si>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</si>
  <si>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</si>
  <si>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</si>
  <si>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</si>
  <si>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</si>
  <si>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</si>
  <si>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</si>
  <si>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</si>
  <si>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</si>
  <si>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</si>
  <si>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</si>
  <si>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</si>
  <si>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</si>
  <si>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</si>
  <si>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</si>
  <si>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</si>
  <si>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</si>
  <si>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</si>
  <si>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</si>
  <si>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</si>
  <si>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</si>
  <si>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</si>
  <si>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</si>
  <si>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</si>
  <si>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</si>
  <si>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</si>
  <si>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</si>
  <si>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</si>
  <si>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</si>
  <si>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</si>
  <si>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</si>
  <si>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</si>
  <si>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</si>
  <si>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</si>
  <si>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</si>
  <si>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</si>
  <si>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</si>
  <si>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</si>
  <si>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</si>
  <si>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</si>
  <si>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</si>
  <si>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</si>
  <si>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</si>
  <si>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</si>
  <si>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</si>
  <si>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</si>
  <si>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</si>
  <si>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</si>
  <si>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</si>
  <si>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</si>
  <si>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</si>
  <si>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</si>
  <si>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</si>
  <si>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</si>
  <si>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</si>
  <si>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</si>
  <si>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</si>
  <si>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</si>
  <si>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</si>
  <si>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</si>
  <si>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</si>
  <si>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</si>
  <si>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</si>
  <si>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</si>
  <si>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</si>
  <si>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</si>
  <si>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</si>
  <si>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</si>
  <si>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</si>
  <si>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</si>
  <si>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</si>
  <si>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</si>
  <si>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</si>
  <si>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</si>
  <si>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</si>
  <si>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</si>
  <si>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</si>
  <si>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</si>
  <si>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</si>
  <si>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</si>
  <si>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</si>
  <si>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</si>
  <si>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</si>
  <si>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</si>
  <si>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</si>
  <si>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</si>
  <si>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</si>
  <si>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</si>
  <si>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</si>
  <si>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</si>
  <si>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</si>
  <si>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</si>
  <si>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</si>
  <si>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</si>
  <si>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</si>
  <si>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</si>
  <si>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</si>
  <si>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</si>
  <si>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</si>
  <si>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</si>
  <si>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</si>
  <si>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</si>
  <si>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</si>
  <si>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</si>
  <si>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</si>
  <si>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</si>
  <si>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</si>
  <si>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</si>
  <si>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</si>
  <si>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</si>
  <si>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</si>
  <si>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</si>
  <si>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</si>
  <si>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</si>
  <si>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</si>
  <si>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</si>
  <si>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</si>
  <si>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</si>
  <si>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</si>
  <si>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</si>
  <si>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</si>
  <si>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</si>
  <si>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</si>
  <si>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</si>
  <si>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</si>
  <si>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</si>
  <si>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</si>
  <si>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</si>
  <si>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</si>
  <si>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</si>
  <si>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</si>
  <si>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</si>
  <si>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</si>
  <si>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</si>
  <si>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</si>
  <si>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</si>
  <si>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</si>
  <si>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</si>
  <si>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</si>
  <si>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</si>
  <si>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</si>
  <si>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</si>
  <si>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</si>
  <si>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</si>
  <si>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</si>
  <si>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</si>
  <si>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</si>
  <si>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</si>
  <si>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</si>
  <si>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</si>
  <si>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</si>
  <si>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</si>
  <si>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</si>
  <si>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</si>
  <si>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</si>
  <si>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</si>
  <si>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</si>
  <si>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</si>
  <si>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</si>
  <si>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</si>
  <si>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</si>
  <si>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</si>
  <si>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</si>
  <si>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</si>
  <si>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</si>
  <si>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</si>
  <si>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</si>
  <si>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</si>
  <si>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</si>
  <si>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</si>
  <si>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</si>
  <si>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</si>
  <si>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</si>
  <si>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</si>
  <si>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</si>
  <si>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</si>
  <si>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</si>
  <si>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</si>
  <si>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</si>
  <si>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</si>
  <si>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</si>
  <si>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</si>
  <si>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</si>
  <si>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</si>
  <si>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</si>
  <si>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</si>
  <si>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</si>
  <si>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</si>
  <si>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</si>
  <si>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</si>
  <si>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</si>
  <si>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</si>
  <si>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</si>
  <si>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</si>
  <si>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</si>
  <si>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</si>
  <si>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</si>
  <si>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</si>
  <si>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</si>
  <si>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</si>
  <si>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</si>
  <si>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</si>
  <si>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</si>
  <si>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</si>
  <si>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</si>
  <si>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</si>
  <si>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</si>
  <si>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</si>
  <si>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</si>
  <si>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</si>
  <si>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</si>
  <si>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</si>
  <si>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</si>
  <si>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</si>
  <si>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</si>
  <si>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</si>
  <si>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</si>
  <si>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</si>
  <si>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</si>
  <si>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</si>
  <si>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</si>
  <si>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</si>
  <si>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</si>
  <si>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</si>
  <si>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</si>
  <si>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</si>
  <si>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</si>
  <si>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</si>
  <si>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</si>
  <si>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</si>
  <si>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</si>
  <si>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</si>
  <si>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</si>
  <si>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</si>
  <si>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</si>
  <si>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</si>
  <si>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</si>
  <si>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</si>
  <si>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</si>
  <si>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</si>
  <si>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Деспред АД</t>
  </si>
  <si>
    <t>05-277</t>
  </si>
  <si>
    <t>1.Булкомби</t>
  </si>
  <si>
    <t>1. Транзитна зона Варна АД</t>
  </si>
  <si>
    <t>2. Химимпорт АД</t>
  </si>
  <si>
    <t>3. ЗПАД Алианц България</t>
  </si>
  <si>
    <t>4. СБЗ Бургас АД</t>
  </si>
  <si>
    <t>31.12.2009г.</t>
  </si>
  <si>
    <t>неконсолидиран предварителен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</si>
</sst>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43.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625" style="223" customWidth="1"/>
    <col min="6" max="6" width="9.50390625" style="228" customWidth="1"/>
    <col min="7" max="7" width="12.625" style="223" customWidth="1"/>
    <col min="8" max="8" width="18.625" style="229" customWidth="1"/>
    <col min="9" max="9" width="3.50390625" style="203" customWidth="1"/>
    <col min="10" max="16384" width="9.37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28.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121018593</v>
      </c>
    </row>
    <row r="4" spans="1:8" ht="28.5">
      <c r="A4" s="204" t="s">
        <v>3</v>
      </c>
      <c r="B4" s="583"/>
      <c r="C4" s="583"/>
      <c r="D4" s="584"/>
      <c r="E4" s="576" t="s">
        <v>874</v>
      </c>
      <c r="F4" s="224" t="s">
        <v>4</v>
      </c>
      <c r="G4" s="225"/>
      <c r="H4" s="595" t="s">
        <v>867</v>
      </c>
    </row>
    <row r="5" spans="1:8" ht="15">
      <c r="A5" s="204" t="s">
        <v>5</v>
      </c>
      <c r="B5" s="268"/>
      <c r="C5" s="268"/>
      <c r="D5" s="268"/>
      <c r="E5" s="596" t="s">
        <v>873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1025</v>
      </c>
      <c r="D11" s="205">
        <v>780</v>
      </c>
      <c r="E11" s="293" t="s">
        <v>22</v>
      </c>
      <c r="F11" s="298" t="s">
        <v>23</v>
      </c>
      <c r="G11" s="206">
        <v>1928</v>
      </c>
      <c r="H11" s="206">
        <v>1928</v>
      </c>
    </row>
    <row r="12" spans="1:8" ht="15">
      <c r="A12" s="291" t="s">
        <v>24</v>
      </c>
      <c r="B12" s="297" t="s">
        <v>25</v>
      </c>
      <c r="C12" s="205">
        <v>1682</v>
      </c>
      <c r="D12" s="205">
        <v>1747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22</v>
      </c>
      <c r="D13" s="205">
        <v>763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931</v>
      </c>
      <c r="D14" s="205">
        <v>267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362</v>
      </c>
      <c r="D15" s="205">
        <v>421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389</v>
      </c>
      <c r="D17" s="205">
        <v>389</v>
      </c>
      <c r="E17" s="299" t="s">
        <v>46</v>
      </c>
      <c r="F17" s="301" t="s">
        <v>47</v>
      </c>
      <c r="G17" s="208">
        <f>G11+G14+G15+G16</f>
        <v>1928</v>
      </c>
      <c r="H17" s="208">
        <f>H11+H14+H15+H16</f>
        <v>1928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54</v>
      </c>
      <c r="D18" s="205">
        <v>44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4465</v>
      </c>
      <c r="D19" s="209">
        <f>SUM(D11:D18)</f>
        <v>4411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1420</v>
      </c>
      <c r="H20" s="212">
        <v>1426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22677</v>
      </c>
      <c r="H21" s="210">
        <f>SUM(H22:H24)</f>
        <v>22677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>
        <v>336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13</v>
      </c>
      <c r="D24" s="205">
        <v>17</v>
      </c>
      <c r="E24" s="293" t="s">
        <v>72</v>
      </c>
      <c r="F24" s="298" t="s">
        <v>73</v>
      </c>
      <c r="G24" s="206">
        <v>22677</v>
      </c>
      <c r="H24" s="206">
        <v>22341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24097</v>
      </c>
      <c r="H25" s="208">
        <f>H19+H20+H21</f>
        <v>24103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4</v>
      </c>
      <c r="D26" s="205">
        <v>6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17</v>
      </c>
      <c r="D27" s="209">
        <f>SUM(D23:D26)</f>
        <v>23</v>
      </c>
      <c r="E27" s="309" t="s">
        <v>83</v>
      </c>
      <c r="F27" s="298" t="s">
        <v>84</v>
      </c>
      <c r="G27" s="208">
        <f>SUM(G28:G30)</f>
        <v>-1117</v>
      </c>
      <c r="H27" s="208">
        <f>SUM(H28:H30)</f>
        <v>-870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809</v>
      </c>
      <c r="H28" s="206">
        <v>802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-1926</v>
      </c>
      <c r="H29" s="391">
        <v>-1672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-195</v>
      </c>
      <c r="H32" s="391">
        <v>-254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-1312</v>
      </c>
      <c r="H33" s="208">
        <f>H27+H31+H32</f>
        <v>-1124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218</v>
      </c>
      <c r="D34" s="209">
        <f>SUM(D35:D38)</f>
        <v>217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24713</v>
      </c>
      <c r="H36" s="208">
        <f>H25+H17+H33</f>
        <v>24907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159</v>
      </c>
      <c r="D37" s="205">
        <v>159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59</v>
      </c>
      <c r="D38" s="205">
        <v>58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25.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218</v>
      </c>
      <c r="D45" s="209">
        <f>D34+D39+D44</f>
        <v>217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>
        <v>75</v>
      </c>
      <c r="H46" s="206">
        <v>75</v>
      </c>
    </row>
    <row r="47" spans="1:13" ht="15">
      <c r="A47" s="291" t="s">
        <v>143</v>
      </c>
      <c r="B47" s="297" t="s">
        <v>144</v>
      </c>
      <c r="C47" s="205">
        <v>1474</v>
      </c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>
        <v>2306</v>
      </c>
      <c r="E48" s="293" t="s">
        <v>149</v>
      </c>
      <c r="F48" s="298" t="s">
        <v>150</v>
      </c>
      <c r="G48" s="206">
        <v>9</v>
      </c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84</v>
      </c>
      <c r="H49" s="208">
        <f>SUM(H43:H48)</f>
        <v>75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27">
      <c r="A51" s="291" t="s">
        <v>155</v>
      </c>
      <c r="B51" s="305" t="s">
        <v>156</v>
      </c>
      <c r="C51" s="209">
        <f>SUM(C47:C50)</f>
        <v>1474</v>
      </c>
      <c r="D51" s="209">
        <f>SUM(D47:D50)</f>
        <v>2306</v>
      </c>
      <c r="E51" s="307" t="s">
        <v>157</v>
      </c>
      <c r="F51" s="301" t="s">
        <v>158</v>
      </c>
      <c r="G51" s="206"/>
      <c r="H51" s="206">
        <v>45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27">
      <c r="A54" s="291" t="s">
        <v>166</v>
      </c>
      <c r="B54" s="305" t="s">
        <v>167</v>
      </c>
      <c r="C54" s="205">
        <v>46</v>
      </c>
      <c r="D54" s="205">
        <v>46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6220</v>
      </c>
      <c r="D55" s="209">
        <f>D19+D20+D21+D27+D32+D45+D51+D53+D54</f>
        <v>7003</v>
      </c>
      <c r="E55" s="293" t="s">
        <v>172</v>
      </c>
      <c r="F55" s="317" t="s">
        <v>173</v>
      </c>
      <c r="G55" s="208">
        <f>G49+G51+G52+G53+G54</f>
        <v>84</v>
      </c>
      <c r="H55" s="208">
        <f>H49+H51+H52+H53+H54</f>
        <v>120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46</v>
      </c>
      <c r="D58" s="205">
        <v>40</v>
      </c>
      <c r="E58" s="293" t="s">
        <v>127</v>
      </c>
      <c r="F58" s="328"/>
      <c r="G58" s="308"/>
      <c r="H58" s="208"/>
    </row>
    <row r="59" spans="1:13" ht="25.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>
        <v>1000</v>
      </c>
      <c r="M59" s="211"/>
    </row>
    <row r="60" spans="1:8" ht="15">
      <c r="A60" s="291" t="s">
        <v>183</v>
      </c>
      <c r="B60" s="297" t="s">
        <v>184</v>
      </c>
      <c r="C60" s="205">
        <v>14</v>
      </c>
      <c r="D60" s="205">
        <v>14</v>
      </c>
      <c r="E60" s="293" t="s">
        <v>185</v>
      </c>
      <c r="F60" s="298" t="s">
        <v>186</v>
      </c>
      <c r="G60" s="206"/>
      <c r="H60" s="206">
        <v>18</v>
      </c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809</v>
      </c>
      <c r="H61" s="208">
        <f>SUM(H62:H68)</f>
        <v>1163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60</v>
      </c>
      <c r="D64" s="209">
        <f>SUM(D58:D63)</f>
        <v>54</v>
      </c>
      <c r="E64" s="293" t="s">
        <v>200</v>
      </c>
      <c r="F64" s="298" t="s">
        <v>201</v>
      </c>
      <c r="G64" s="206">
        <v>555</v>
      </c>
      <c r="H64" s="206">
        <v>756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189</v>
      </c>
      <c r="H66" s="206">
        <v>315</v>
      </c>
    </row>
    <row r="67" spans="1:8" ht="15">
      <c r="A67" s="291" t="s">
        <v>207</v>
      </c>
      <c r="B67" s="297" t="s">
        <v>208</v>
      </c>
      <c r="C67" s="205"/>
      <c r="D67" s="205">
        <v>21</v>
      </c>
      <c r="E67" s="293" t="s">
        <v>209</v>
      </c>
      <c r="F67" s="298" t="s">
        <v>210</v>
      </c>
      <c r="G67" s="206">
        <v>37</v>
      </c>
      <c r="H67" s="206">
        <v>54</v>
      </c>
    </row>
    <row r="68" spans="1:8" ht="15">
      <c r="A68" s="291" t="s">
        <v>211</v>
      </c>
      <c r="B68" s="297" t="s">
        <v>212</v>
      </c>
      <c r="C68" s="205">
        <v>1163</v>
      </c>
      <c r="D68" s="205">
        <f>1604+3</f>
        <v>1607</v>
      </c>
      <c r="E68" s="293" t="s">
        <v>213</v>
      </c>
      <c r="F68" s="298" t="s">
        <v>214</v>
      </c>
      <c r="G68" s="206">
        <v>28</v>
      </c>
      <c r="H68" s="206">
        <v>38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433</v>
      </c>
      <c r="H69" s="206">
        <v>102</v>
      </c>
    </row>
    <row r="70" spans="1:8" ht="25.5">
      <c r="A70" s="291" t="s">
        <v>218</v>
      </c>
      <c r="B70" s="297" t="s">
        <v>219</v>
      </c>
      <c r="C70" s="205">
        <v>702</v>
      </c>
      <c r="D70" s="205">
        <v>702</v>
      </c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2396</v>
      </c>
      <c r="D71" s="205">
        <v>2158</v>
      </c>
      <c r="E71" s="309" t="s">
        <v>46</v>
      </c>
      <c r="F71" s="329" t="s">
        <v>224</v>
      </c>
      <c r="G71" s="215">
        <f>G59+G60+G61+G69+G70</f>
        <v>1242</v>
      </c>
      <c r="H71" s="215">
        <f>H59+H60+H61+H69+H70</f>
        <v>2283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27">
      <c r="A74" s="291" t="s">
        <v>229</v>
      </c>
      <c r="B74" s="297" t="s">
        <v>230</v>
      </c>
      <c r="C74" s="205">
        <v>15315</v>
      </c>
      <c r="D74" s="205">
        <v>15337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19576</v>
      </c>
      <c r="D75" s="209">
        <f>SUM(D67:D74)</f>
        <v>19825</v>
      </c>
      <c r="E75" s="307" t="s">
        <v>160</v>
      </c>
      <c r="F75" s="301" t="s">
        <v>234</v>
      </c>
      <c r="G75" s="206">
        <v>2</v>
      </c>
      <c r="H75" s="206">
        <v>4</v>
      </c>
      <c r="I75" s="346"/>
      <c r="J75" s="346"/>
      <c r="K75" s="346"/>
      <c r="L75" s="346"/>
      <c r="M75" s="346"/>
      <c r="N75" s="346"/>
      <c r="O75" s="346"/>
    </row>
    <row r="76" spans="1:8" ht="27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25.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1244</v>
      </c>
      <c r="H79" s="216">
        <f>H71+H74+H75+H76</f>
        <v>2287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55</v>
      </c>
      <c r="D87" s="205">
        <v>76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128</v>
      </c>
      <c r="D88" s="205">
        <v>356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183</v>
      </c>
      <c r="D91" s="209">
        <f>SUM(D87:D90)</f>
        <v>432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2</v>
      </c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19821</v>
      </c>
      <c r="D93" s="209">
        <f>D64+D75+D84+D91+D92</f>
        <v>20311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26.25" thickBot="1">
      <c r="A94" s="557" t="s">
        <v>268</v>
      </c>
      <c r="B94" s="344" t="s">
        <v>269</v>
      </c>
      <c r="C94" s="218">
        <f>C93+C55</f>
        <v>26041</v>
      </c>
      <c r="D94" s="218">
        <f>D93+D55</f>
        <v>27314</v>
      </c>
      <c r="E94" s="558" t="s">
        <v>270</v>
      </c>
      <c r="F94" s="345" t="s">
        <v>271</v>
      </c>
      <c r="G94" s="219">
        <f>G36+G39+G55+G79</f>
        <v>26041</v>
      </c>
      <c r="H94" s="219">
        <f>H36+H39+H55+H79</f>
        <v>27314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90 C20:D21 C11:D18 C30:D30 C23:D26 C40:D44 C35:D38 C53:D54 C58:D63 C47:D50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A44" sqref="A4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Деспред АД</v>
      </c>
      <c r="F2" s="598" t="s">
        <v>2</v>
      </c>
      <c r="G2" s="598"/>
      <c r="H2" s="353">
        <f>'справка №1-БАЛАНС'!H3</f>
        <v>121018593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 предварителен</v>
      </c>
      <c r="F3" s="569" t="s">
        <v>4</v>
      </c>
      <c r="G3" s="354"/>
      <c r="H3" s="353" t="str">
        <f>'справка №1-БАЛАНС'!H4</f>
        <v>05-277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31.12.2009г.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24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>
        <v>220</v>
      </c>
      <c r="D9" s="79">
        <v>336</v>
      </c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3661</v>
      </c>
      <c r="D10" s="79">
        <v>1218</v>
      </c>
      <c r="E10" s="363" t="s">
        <v>288</v>
      </c>
      <c r="F10" s="365" t="s">
        <v>289</v>
      </c>
      <c r="G10" s="87"/>
      <c r="H10" s="87">
        <v>1</v>
      </c>
    </row>
    <row r="11" spans="1:8" ht="12">
      <c r="A11" s="363" t="s">
        <v>290</v>
      </c>
      <c r="B11" s="364" t="s">
        <v>291</v>
      </c>
      <c r="C11" s="79">
        <v>256</v>
      </c>
      <c r="D11" s="79">
        <v>303</v>
      </c>
      <c r="E11" s="366" t="s">
        <v>292</v>
      </c>
      <c r="F11" s="365" t="s">
        <v>293</v>
      </c>
      <c r="G11" s="87">
        <v>4851</v>
      </c>
      <c r="H11" s="87">
        <v>3595</v>
      </c>
    </row>
    <row r="12" spans="1:8" ht="12">
      <c r="A12" s="363" t="s">
        <v>294</v>
      </c>
      <c r="B12" s="364" t="s">
        <v>295</v>
      </c>
      <c r="C12" s="79">
        <v>1228</v>
      </c>
      <c r="D12" s="79">
        <v>1637</v>
      </c>
      <c r="E12" s="366" t="s">
        <v>78</v>
      </c>
      <c r="F12" s="365" t="s">
        <v>296</v>
      </c>
      <c r="G12" s="87">
        <v>677</v>
      </c>
      <c r="H12" s="87">
        <v>3103</v>
      </c>
    </row>
    <row r="13" spans="1:18" ht="12">
      <c r="A13" s="363" t="s">
        <v>297</v>
      </c>
      <c r="B13" s="364" t="s">
        <v>298</v>
      </c>
      <c r="C13" s="79">
        <v>229</v>
      </c>
      <c r="D13" s="79">
        <v>309</v>
      </c>
      <c r="E13" s="367" t="s">
        <v>51</v>
      </c>
      <c r="F13" s="368" t="s">
        <v>299</v>
      </c>
      <c r="G13" s="88">
        <f>SUM(G9:G12)</f>
        <v>5528</v>
      </c>
      <c r="H13" s="88">
        <f>SUM(H9:H12)</f>
        <v>6699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24">
      <c r="A14" s="363" t="s">
        <v>300</v>
      </c>
      <c r="B14" s="364" t="s">
        <v>301</v>
      </c>
      <c r="C14" s="79">
        <v>147</v>
      </c>
      <c r="D14" s="79">
        <v>1610</v>
      </c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46</v>
      </c>
      <c r="D16" s="80">
        <v>2661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5787</v>
      </c>
      <c r="D19" s="82">
        <f>SUM(D9:D15)+D16</f>
        <v>8074</v>
      </c>
      <c r="E19" s="373" t="s">
        <v>316</v>
      </c>
      <c r="F19" s="369" t="s">
        <v>317</v>
      </c>
      <c r="G19" s="87">
        <v>142</v>
      </c>
      <c r="H19" s="87">
        <v>120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>
        <v>208</v>
      </c>
    </row>
    <row r="21" spans="1:8" ht="36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>
        <v>975</v>
      </c>
    </row>
    <row r="22" spans="1:8" ht="24">
      <c r="A22" s="360" t="s">
        <v>323</v>
      </c>
      <c r="B22" s="375" t="s">
        <v>324</v>
      </c>
      <c r="C22" s="79">
        <v>17</v>
      </c>
      <c r="D22" s="79">
        <v>140</v>
      </c>
      <c r="E22" s="373" t="s">
        <v>325</v>
      </c>
      <c r="F22" s="369" t="s">
        <v>326</v>
      </c>
      <c r="G22" s="87">
        <v>7</v>
      </c>
      <c r="H22" s="87">
        <v>18</v>
      </c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24">
      <c r="A24" s="363" t="s">
        <v>331</v>
      </c>
      <c r="B24" s="375" t="s">
        <v>332</v>
      </c>
      <c r="C24" s="79">
        <v>9</v>
      </c>
      <c r="D24" s="79">
        <v>35</v>
      </c>
      <c r="E24" s="367" t="s">
        <v>103</v>
      </c>
      <c r="F24" s="370" t="s">
        <v>333</v>
      </c>
      <c r="G24" s="88">
        <f>SUM(G19:G23)</f>
        <v>149</v>
      </c>
      <c r="H24" s="88">
        <f>SUM(H19:H23)</f>
        <v>1321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>
        <v>59</v>
      </c>
      <c r="D25" s="79">
        <v>112</v>
      </c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85</v>
      </c>
      <c r="D26" s="82">
        <f>SUM(D22:D25)</f>
        <v>287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5872</v>
      </c>
      <c r="D28" s="83">
        <f>D26+D19</f>
        <v>8361</v>
      </c>
      <c r="E28" s="174" t="s">
        <v>338</v>
      </c>
      <c r="F28" s="370" t="s">
        <v>339</v>
      </c>
      <c r="G28" s="88">
        <f>G13+G15+G24</f>
        <v>5677</v>
      </c>
      <c r="H28" s="88">
        <f>H13+H15+H24</f>
        <v>8020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195</v>
      </c>
      <c r="H30" s="90">
        <f>IF((D28-H28)&gt;0,D28-H28,0)</f>
        <v>341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36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5872</v>
      </c>
      <c r="D33" s="82">
        <f>D28-D31+D32</f>
        <v>8361</v>
      </c>
      <c r="E33" s="174" t="s">
        <v>352</v>
      </c>
      <c r="F33" s="370" t="s">
        <v>353</v>
      </c>
      <c r="G33" s="90">
        <f>G32-G31+G28</f>
        <v>5677</v>
      </c>
      <c r="H33" s="90">
        <f>H32-H31+H28</f>
        <v>8020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195</v>
      </c>
      <c r="H34" s="88">
        <f>IF((D33-H33)&gt;0,D33-H33,0)</f>
        <v>341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24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195</v>
      </c>
      <c r="H39" s="91">
        <f>IF(H34&gt;0,IF(D35+H34&lt;0,0,D35+H34),IF(D34-D35&lt;0,D35-D34,0))</f>
        <v>341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24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24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195</v>
      </c>
      <c r="H41" s="85">
        <f>IF(D39=0,IF(H39-H40&gt;0,H39-H40+D40,0),IF(D39-D40&lt;0,D40-D39+H40,0))</f>
        <v>341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5872</v>
      </c>
      <c r="D42" s="86">
        <f>D33+D35+D39</f>
        <v>8361</v>
      </c>
      <c r="E42" s="177" t="s">
        <v>379</v>
      </c>
      <c r="F42" s="178" t="s">
        <v>380</v>
      </c>
      <c r="G42" s="90">
        <f>G39+G33</f>
        <v>5872</v>
      </c>
      <c r="H42" s="90">
        <f>H39+H33</f>
        <v>8361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">
      <selection activeCell="C11" sqref="C11"/>
    </sheetView>
  </sheetViews>
  <sheetFormatPr defaultColWidth="9.00390625" defaultRowHeight="12.75"/>
  <cols>
    <col min="1" max="1" width="61.50390625" style="183" customWidth="1"/>
    <col min="2" max="2" width="17.50390625" style="183" customWidth="1"/>
    <col min="3" max="3" width="17.875" style="422" customWidth="1"/>
    <col min="4" max="4" width="18.625" style="422" customWidth="1"/>
    <col min="5" max="5" width="10.125" style="183" customWidth="1"/>
    <col min="6" max="6" width="12.00390625" style="183" customWidth="1"/>
    <col min="7" max="16384" width="9.37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Деспред АД</v>
      </c>
      <c r="C4" s="397" t="s">
        <v>2</v>
      </c>
      <c r="D4" s="353">
        <f>'справка №1-БАЛАНС'!H3</f>
        <v>121018593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 предварителен</v>
      </c>
      <c r="C5" s="398" t="s">
        <v>4</v>
      </c>
      <c r="D5" s="353" t="str">
        <f>'справка №1-БАЛАНС'!H4</f>
        <v>05-277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31.12.2009г.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6662</v>
      </c>
      <c r="D10" s="92">
        <v>10334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-4825</v>
      </c>
      <c r="D11" s="92">
        <v>-7359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-1257</v>
      </c>
      <c r="D13" s="92">
        <f>-1751+7</f>
        <v>-1744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24">
      <c r="A14" s="410" t="s">
        <v>395</v>
      </c>
      <c r="B14" s="411" t="s">
        <v>396</v>
      </c>
      <c r="C14" s="92">
        <v>-294</v>
      </c>
      <c r="D14" s="92">
        <v>-1038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>
        <v>-6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>
        <v>5</v>
      </c>
      <c r="D16" s="92">
        <v>1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>
        <v>-59</v>
      </c>
      <c r="D17" s="92">
        <v>-29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>
        <v>-7</v>
      </c>
      <c r="D18" s="92">
        <f>2-5</f>
        <v>-3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-412</v>
      </c>
      <c r="D19" s="92">
        <f>4851-4950</f>
        <v>-99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-187</v>
      </c>
      <c r="D20" s="93">
        <f>SUM(D10:D19)</f>
        <v>57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>
        <v>-13</v>
      </c>
      <c r="D22" s="92">
        <v>-331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>
        <v>2776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>
        <v>-2500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24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>
        <v>96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>
        <v>975</v>
      </c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>
        <v>164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-13</v>
      </c>
      <c r="D32" s="93">
        <f>SUM(D22:D31)</f>
        <v>1180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>
        <v>829</v>
      </c>
      <c r="D36" s="92">
        <v>1300</v>
      </c>
      <c r="E36" s="181"/>
      <c r="F36" s="181"/>
      <c r="G36" s="182"/>
    </row>
    <row r="37" spans="1:7" ht="12">
      <c r="A37" s="410" t="s">
        <v>438</v>
      </c>
      <c r="B37" s="411" t="s">
        <v>439</v>
      </c>
      <c r="C37" s="92">
        <v>-1000</v>
      </c>
      <c r="D37" s="92">
        <v>-2300</v>
      </c>
      <c r="E37" s="181"/>
      <c r="F37" s="181"/>
      <c r="G37" s="182"/>
    </row>
    <row r="38" spans="1:7" ht="12">
      <c r="A38" s="410" t="s">
        <v>440</v>
      </c>
      <c r="B38" s="411" t="s">
        <v>441</v>
      </c>
      <c r="C38" s="92">
        <v>-9</v>
      </c>
      <c r="D38" s="92"/>
      <c r="E38" s="181"/>
      <c r="F38" s="181"/>
      <c r="G38" s="182"/>
    </row>
    <row r="39" spans="1:7" ht="24">
      <c r="A39" s="410" t="s">
        <v>442</v>
      </c>
      <c r="B39" s="411" t="s">
        <v>443</v>
      </c>
      <c r="C39" s="92"/>
      <c r="D39" s="92">
        <v>-205</v>
      </c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>
        <v>131</v>
      </c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-49</v>
      </c>
      <c r="D42" s="93">
        <f>SUM(D34:D41)</f>
        <v>-1205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-249</v>
      </c>
      <c r="D43" s="93">
        <f>D42+D32+D20</f>
        <v>32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432</v>
      </c>
      <c r="D44" s="184">
        <v>400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183</v>
      </c>
      <c r="D45" s="93">
        <f>D44+D43</f>
        <v>432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/>
      <c r="D46" s="94"/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B12">
      <selection activeCell="L32" sqref="L32"/>
    </sheetView>
  </sheetViews>
  <sheetFormatPr defaultColWidth="9.0039062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Деспред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121018593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 предварителен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05-277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31.12.2009г.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1928</v>
      </c>
      <c r="D11" s="96">
        <f>'справка №1-БАЛАНС'!H19</f>
        <v>0</v>
      </c>
      <c r="E11" s="96">
        <f>'справка №1-БАЛАНС'!H20</f>
        <v>1426</v>
      </c>
      <c r="F11" s="96">
        <f>'справка №1-БАЛАНС'!H22</f>
        <v>336</v>
      </c>
      <c r="G11" s="96">
        <f>'справка №1-БАЛАНС'!H23</f>
        <v>0</v>
      </c>
      <c r="H11" s="98">
        <v>22341</v>
      </c>
      <c r="I11" s="96">
        <f>'справка №1-БАЛАНС'!H28+'справка №1-БАЛАНС'!H31</f>
        <v>802</v>
      </c>
      <c r="J11" s="96">
        <f>'справка №1-БАЛАНС'!H29+'справка №1-БАЛАНС'!H32</f>
        <v>-1926</v>
      </c>
      <c r="K11" s="98"/>
      <c r="L11" s="424">
        <f>SUM(C11:K11)</f>
        <v>24907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1928</v>
      </c>
      <c r="D15" s="99">
        <f aca="true" t="shared" si="2" ref="D15:M15">D11+D12</f>
        <v>0</v>
      </c>
      <c r="E15" s="99">
        <f t="shared" si="2"/>
        <v>1426</v>
      </c>
      <c r="F15" s="99">
        <f t="shared" si="2"/>
        <v>336</v>
      </c>
      <c r="G15" s="99">
        <f t="shared" si="2"/>
        <v>0</v>
      </c>
      <c r="H15" s="99">
        <f t="shared" si="2"/>
        <v>22341</v>
      </c>
      <c r="I15" s="99">
        <f t="shared" si="2"/>
        <v>802</v>
      </c>
      <c r="J15" s="99">
        <f t="shared" si="2"/>
        <v>-1926</v>
      </c>
      <c r="K15" s="99">
        <f t="shared" si="2"/>
        <v>0</v>
      </c>
      <c r="L15" s="424">
        <f t="shared" si="1"/>
        <v>24907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-195</v>
      </c>
      <c r="K16" s="98"/>
      <c r="L16" s="424">
        <f t="shared" si="1"/>
        <v>-195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1928</v>
      </c>
      <c r="D29" s="97">
        <f aca="true" t="shared" si="6" ref="D29:M29">D17+D20+D21+D24+D28+D27+D15+D16</f>
        <v>0</v>
      </c>
      <c r="E29" s="97">
        <f t="shared" si="6"/>
        <v>1426</v>
      </c>
      <c r="F29" s="97">
        <f t="shared" si="6"/>
        <v>336</v>
      </c>
      <c r="G29" s="97">
        <f t="shared" si="6"/>
        <v>0</v>
      </c>
      <c r="H29" s="97">
        <f t="shared" si="6"/>
        <v>22341</v>
      </c>
      <c r="I29" s="97">
        <f t="shared" si="6"/>
        <v>802</v>
      </c>
      <c r="J29" s="97">
        <f t="shared" si="6"/>
        <v>-2121</v>
      </c>
      <c r="K29" s="97">
        <f t="shared" si="6"/>
        <v>0</v>
      </c>
      <c r="L29" s="424">
        <f t="shared" si="1"/>
        <v>24712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1928</v>
      </c>
      <c r="D32" s="97">
        <f t="shared" si="7"/>
        <v>0</v>
      </c>
      <c r="E32" s="97">
        <f t="shared" si="7"/>
        <v>1426</v>
      </c>
      <c r="F32" s="97">
        <f t="shared" si="7"/>
        <v>336</v>
      </c>
      <c r="G32" s="97">
        <f t="shared" si="7"/>
        <v>0</v>
      </c>
      <c r="H32" s="97">
        <f t="shared" si="7"/>
        <v>22341</v>
      </c>
      <c r="I32" s="97">
        <f t="shared" si="7"/>
        <v>802</v>
      </c>
      <c r="J32" s="97">
        <f t="shared" si="7"/>
        <v>-2121</v>
      </c>
      <c r="K32" s="97">
        <f t="shared" si="7"/>
        <v>0</v>
      </c>
      <c r="L32" s="424">
        <f t="shared" si="1"/>
        <v>24712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3">
      <selection activeCell="S44" sqref="S4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375" style="43" customWidth="1"/>
    <col min="4" max="6" width="9.5039062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50390625" style="43" customWidth="1"/>
    <col min="11" max="11" width="9.375" style="43" customWidth="1"/>
    <col min="12" max="12" width="10.625" style="43" customWidth="1"/>
    <col min="13" max="13" width="9.625" style="43" customWidth="1"/>
    <col min="14" max="14" width="8.50390625" style="43" customWidth="1"/>
    <col min="15" max="15" width="12.50390625" style="43" customWidth="1"/>
    <col min="16" max="16" width="11.125" style="43" customWidth="1"/>
    <col min="17" max="17" width="13.125" style="43" customWidth="1"/>
    <col min="18" max="18" width="11.375" style="43" customWidth="1"/>
    <col min="19" max="16384" width="10.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384</v>
      </c>
      <c r="B2" s="619"/>
      <c r="C2" s="585"/>
      <c r="D2" s="585"/>
      <c r="E2" s="606" t="str">
        <f>'справка №1-БАЛАНС'!E3</f>
        <v>Деспред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121018593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31.12.2009г.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 t="str">
        <f>'справка №1-БАЛАНС'!H4</f>
        <v>05-277</v>
      </c>
      <c r="Q3" s="625"/>
      <c r="R3" s="354"/>
    </row>
    <row r="4" spans="1:18" ht="12.75">
      <c r="A4" s="436" t="s">
        <v>524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11" t="s">
        <v>464</v>
      </c>
      <c r="B5" s="612"/>
      <c r="C5" s="615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20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20" t="s">
        <v>530</v>
      </c>
      <c r="R5" s="620" t="s">
        <v>531</v>
      </c>
    </row>
    <row r="6" spans="1:18" s="44" customFormat="1" ht="60">
      <c r="A6" s="613"/>
      <c r="B6" s="614"/>
      <c r="C6" s="616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21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21"/>
      <c r="R6" s="621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780</v>
      </c>
      <c r="E9" s="243">
        <v>245</v>
      </c>
      <c r="F9" s="243"/>
      <c r="G9" s="113">
        <f>D9+E9-F9</f>
        <v>1025</v>
      </c>
      <c r="H9" s="103"/>
      <c r="I9" s="103"/>
      <c r="J9" s="113">
        <f>G9+H9-I9</f>
        <v>1025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1025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>
        <v>3355</v>
      </c>
      <c r="E10" s="243"/>
      <c r="F10" s="243"/>
      <c r="G10" s="113">
        <f aca="true" t="shared" si="2" ref="G10:G39">D10+E10-F10</f>
        <v>3355</v>
      </c>
      <c r="H10" s="103"/>
      <c r="I10" s="103"/>
      <c r="J10" s="113">
        <f aca="true" t="shared" si="3" ref="J10:J39">G10+H10-I10</f>
        <v>3355</v>
      </c>
      <c r="K10" s="103">
        <v>1608</v>
      </c>
      <c r="L10" s="103"/>
      <c r="M10" s="103"/>
      <c r="N10" s="113">
        <f aca="true" t="shared" si="4" ref="N10:N39">K10+L10-M10</f>
        <v>1608</v>
      </c>
      <c r="O10" s="103"/>
      <c r="P10" s="103"/>
      <c r="Q10" s="113">
        <f t="shared" si="0"/>
        <v>1608</v>
      </c>
      <c r="R10" s="113">
        <f t="shared" si="1"/>
        <v>1747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1717</v>
      </c>
      <c r="E11" s="243"/>
      <c r="F11" s="243"/>
      <c r="G11" s="113">
        <f t="shared" si="2"/>
        <v>1717</v>
      </c>
      <c r="H11" s="103"/>
      <c r="I11" s="103"/>
      <c r="J11" s="113">
        <f t="shared" si="3"/>
        <v>1717</v>
      </c>
      <c r="K11" s="103">
        <v>954</v>
      </c>
      <c r="L11" s="103"/>
      <c r="M11" s="103"/>
      <c r="N11" s="113">
        <f t="shared" si="4"/>
        <v>954</v>
      </c>
      <c r="O11" s="103"/>
      <c r="P11" s="103"/>
      <c r="Q11" s="113">
        <f t="shared" si="0"/>
        <v>954</v>
      </c>
      <c r="R11" s="113">
        <f t="shared" si="1"/>
        <v>763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>
        <v>1096</v>
      </c>
      <c r="E12" s="243"/>
      <c r="F12" s="243"/>
      <c r="G12" s="113">
        <f t="shared" si="2"/>
        <v>1096</v>
      </c>
      <c r="H12" s="103"/>
      <c r="I12" s="103"/>
      <c r="J12" s="113">
        <f t="shared" si="3"/>
        <v>1096</v>
      </c>
      <c r="K12" s="103">
        <v>829</v>
      </c>
      <c r="L12" s="103"/>
      <c r="M12" s="103"/>
      <c r="N12" s="113">
        <f t="shared" si="4"/>
        <v>829</v>
      </c>
      <c r="O12" s="103"/>
      <c r="P12" s="103"/>
      <c r="Q12" s="113">
        <f t="shared" si="0"/>
        <v>829</v>
      </c>
      <c r="R12" s="113">
        <f t="shared" si="1"/>
        <v>267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>
        <v>787</v>
      </c>
      <c r="E13" s="243"/>
      <c r="F13" s="243"/>
      <c r="G13" s="113">
        <f t="shared" si="2"/>
        <v>787</v>
      </c>
      <c r="H13" s="103"/>
      <c r="I13" s="103"/>
      <c r="J13" s="113">
        <f t="shared" si="3"/>
        <v>787</v>
      </c>
      <c r="K13" s="103">
        <v>366</v>
      </c>
      <c r="L13" s="103"/>
      <c r="M13" s="103"/>
      <c r="N13" s="113">
        <f t="shared" si="4"/>
        <v>366</v>
      </c>
      <c r="O13" s="103"/>
      <c r="P13" s="103"/>
      <c r="Q13" s="113">
        <f t="shared" si="0"/>
        <v>366</v>
      </c>
      <c r="R13" s="113">
        <f t="shared" si="1"/>
        <v>421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>
        <v>389</v>
      </c>
      <c r="E15" s="565"/>
      <c r="F15" s="565"/>
      <c r="G15" s="113">
        <f t="shared" si="2"/>
        <v>389</v>
      </c>
      <c r="H15" s="566"/>
      <c r="I15" s="566"/>
      <c r="J15" s="113">
        <f t="shared" si="3"/>
        <v>389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389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>
        <v>260</v>
      </c>
      <c r="E16" s="243"/>
      <c r="F16" s="243"/>
      <c r="G16" s="113">
        <f t="shared" si="2"/>
        <v>260</v>
      </c>
      <c r="H16" s="103"/>
      <c r="I16" s="103"/>
      <c r="J16" s="113">
        <f t="shared" si="3"/>
        <v>260</v>
      </c>
      <c r="K16" s="103">
        <v>216</v>
      </c>
      <c r="L16" s="103"/>
      <c r="M16" s="103"/>
      <c r="N16" s="113">
        <f t="shared" si="4"/>
        <v>216</v>
      </c>
      <c r="O16" s="103"/>
      <c r="P16" s="103"/>
      <c r="Q16" s="113">
        <f aca="true" t="shared" si="5" ref="Q16:Q25">N16+O16-P16</f>
        <v>216</v>
      </c>
      <c r="R16" s="113">
        <f aca="true" t="shared" si="6" ref="R16:R25">J16-Q16</f>
        <v>44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8384</v>
      </c>
      <c r="E17" s="248">
        <f>SUM(E9:E16)</f>
        <v>245</v>
      </c>
      <c r="F17" s="248">
        <f>SUM(F9:F16)</f>
        <v>0</v>
      </c>
      <c r="G17" s="113">
        <f t="shared" si="2"/>
        <v>8629</v>
      </c>
      <c r="H17" s="114">
        <f>SUM(H9:H16)</f>
        <v>0</v>
      </c>
      <c r="I17" s="114">
        <f>SUM(I9:I16)</f>
        <v>0</v>
      </c>
      <c r="J17" s="113">
        <f t="shared" si="3"/>
        <v>8629</v>
      </c>
      <c r="K17" s="114">
        <f>SUM(K9:K16)</f>
        <v>3973</v>
      </c>
      <c r="L17" s="114">
        <f>SUM(L9:L16)</f>
        <v>0</v>
      </c>
      <c r="M17" s="114">
        <f>SUM(M9:M16)</f>
        <v>0</v>
      </c>
      <c r="N17" s="113">
        <f t="shared" si="4"/>
        <v>3973</v>
      </c>
      <c r="O17" s="114">
        <f>SUM(O9:O16)</f>
        <v>0</v>
      </c>
      <c r="P17" s="114">
        <f>SUM(P9:P16)</f>
        <v>0</v>
      </c>
      <c r="Q17" s="113">
        <f t="shared" si="5"/>
        <v>3973</v>
      </c>
      <c r="R17" s="113">
        <f t="shared" si="6"/>
        <v>4656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>
        <v>40</v>
      </c>
      <c r="E22" s="243"/>
      <c r="F22" s="243"/>
      <c r="G22" s="113">
        <f t="shared" si="2"/>
        <v>40</v>
      </c>
      <c r="H22" s="103"/>
      <c r="I22" s="103"/>
      <c r="J22" s="113">
        <f t="shared" si="3"/>
        <v>40</v>
      </c>
      <c r="K22" s="103">
        <v>23</v>
      </c>
      <c r="L22" s="103"/>
      <c r="M22" s="103"/>
      <c r="N22" s="113">
        <f t="shared" si="4"/>
        <v>23</v>
      </c>
      <c r="O22" s="103"/>
      <c r="P22" s="103"/>
      <c r="Q22" s="113">
        <f t="shared" si="5"/>
        <v>23</v>
      </c>
      <c r="R22" s="113">
        <f t="shared" si="6"/>
        <v>17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>
        <v>22</v>
      </c>
      <c r="E24" s="243"/>
      <c r="F24" s="243"/>
      <c r="G24" s="113">
        <f t="shared" si="2"/>
        <v>22</v>
      </c>
      <c r="H24" s="103"/>
      <c r="I24" s="103"/>
      <c r="J24" s="113">
        <f t="shared" si="3"/>
        <v>22</v>
      </c>
      <c r="K24" s="103">
        <v>16</v>
      </c>
      <c r="L24" s="103"/>
      <c r="M24" s="103"/>
      <c r="N24" s="113">
        <f t="shared" si="4"/>
        <v>16</v>
      </c>
      <c r="O24" s="103"/>
      <c r="P24" s="103"/>
      <c r="Q24" s="113">
        <f t="shared" si="5"/>
        <v>16</v>
      </c>
      <c r="R24" s="113">
        <f t="shared" si="6"/>
        <v>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62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62</v>
      </c>
      <c r="H25" s="104">
        <f t="shared" si="7"/>
        <v>0</v>
      </c>
      <c r="I25" s="104">
        <f t="shared" si="7"/>
        <v>0</v>
      </c>
      <c r="J25" s="105">
        <f t="shared" si="3"/>
        <v>62</v>
      </c>
      <c r="K25" s="104">
        <f t="shared" si="7"/>
        <v>39</v>
      </c>
      <c r="L25" s="104">
        <f t="shared" si="7"/>
        <v>0</v>
      </c>
      <c r="M25" s="104">
        <f t="shared" si="7"/>
        <v>0</v>
      </c>
      <c r="N25" s="105">
        <f t="shared" si="4"/>
        <v>39</v>
      </c>
      <c r="O25" s="104">
        <f t="shared" si="7"/>
        <v>0</v>
      </c>
      <c r="P25" s="104">
        <f t="shared" si="7"/>
        <v>0</v>
      </c>
      <c r="Q25" s="105">
        <f t="shared" si="5"/>
        <v>39</v>
      </c>
      <c r="R25" s="105">
        <f t="shared" si="6"/>
        <v>23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217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217</v>
      </c>
      <c r="H27" s="109">
        <f t="shared" si="8"/>
        <v>0</v>
      </c>
      <c r="I27" s="109">
        <f t="shared" si="8"/>
        <v>0</v>
      </c>
      <c r="J27" s="110">
        <f t="shared" si="3"/>
        <v>217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217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>
        <v>159</v>
      </c>
      <c r="E30" s="243"/>
      <c r="F30" s="243"/>
      <c r="G30" s="113">
        <f t="shared" si="2"/>
        <v>159</v>
      </c>
      <c r="H30" s="111"/>
      <c r="I30" s="111"/>
      <c r="J30" s="113">
        <f t="shared" si="3"/>
        <v>159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159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>
        <v>58</v>
      </c>
      <c r="E31" s="243"/>
      <c r="F31" s="243"/>
      <c r="G31" s="113">
        <f t="shared" si="2"/>
        <v>58</v>
      </c>
      <c r="H31" s="111"/>
      <c r="I31" s="111"/>
      <c r="J31" s="113">
        <f t="shared" si="3"/>
        <v>58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58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24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217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217</v>
      </c>
      <c r="H38" s="114">
        <f t="shared" si="12"/>
        <v>0</v>
      </c>
      <c r="I38" s="114">
        <f t="shared" si="12"/>
        <v>0</v>
      </c>
      <c r="J38" s="113">
        <f t="shared" si="3"/>
        <v>217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217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8663</v>
      </c>
      <c r="E40" s="547">
        <f>E17+E18+E19+E25+E38+E39</f>
        <v>245</v>
      </c>
      <c r="F40" s="547">
        <f aca="true" t="shared" si="13" ref="F40:R40">F17+F18+F19+F25+F38+F39</f>
        <v>0</v>
      </c>
      <c r="G40" s="547">
        <f t="shared" si="13"/>
        <v>8908</v>
      </c>
      <c r="H40" s="547">
        <f t="shared" si="13"/>
        <v>0</v>
      </c>
      <c r="I40" s="547">
        <f t="shared" si="13"/>
        <v>0</v>
      </c>
      <c r="J40" s="547">
        <f t="shared" si="13"/>
        <v>8908</v>
      </c>
      <c r="K40" s="547">
        <f t="shared" si="13"/>
        <v>4012</v>
      </c>
      <c r="L40" s="547">
        <f t="shared" si="13"/>
        <v>0</v>
      </c>
      <c r="M40" s="547">
        <f t="shared" si="13"/>
        <v>0</v>
      </c>
      <c r="N40" s="547">
        <f t="shared" si="13"/>
        <v>4012</v>
      </c>
      <c r="O40" s="547">
        <f t="shared" si="13"/>
        <v>0</v>
      </c>
      <c r="P40" s="547">
        <f t="shared" si="13"/>
        <v>0</v>
      </c>
      <c r="Q40" s="547">
        <f t="shared" si="13"/>
        <v>4012</v>
      </c>
      <c r="R40" s="547">
        <f t="shared" si="13"/>
        <v>4896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17"/>
      <c r="L44" s="617"/>
      <c r="M44" s="617"/>
      <c r="N44" s="617"/>
      <c r="O44" s="618" t="s">
        <v>784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25">
      <selection activeCell="D94" sqref="D94"/>
    </sheetView>
  </sheetViews>
  <sheetFormatPr defaultColWidth="9.00390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Деспред АД</v>
      </c>
      <c r="B3" s="633"/>
      <c r="C3" s="353" t="s">
        <v>2</v>
      </c>
      <c r="E3" s="353">
        <f>'справка №1-БАЛАНС'!H3</f>
        <v>121018593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31.12.2009г.</v>
      </c>
      <c r="B4" s="634"/>
      <c r="C4" s="354" t="s">
        <v>4</v>
      </c>
      <c r="D4" s="354"/>
      <c r="E4" s="353" t="str">
        <f>'справка №1-БАЛАНС'!H4</f>
        <v>05-277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1474</v>
      </c>
      <c r="D11" s="165">
        <f>SUM(D12:D14)</f>
        <v>0</v>
      </c>
      <c r="E11" s="166">
        <f>SUM(E12:E14)</f>
        <v>1474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>
        <v>1474</v>
      </c>
      <c r="D12" s="153"/>
      <c r="E12" s="166">
        <f aca="true" t="shared" si="0" ref="E12:E42">C12-D12</f>
        <v>1474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1474</v>
      </c>
      <c r="D19" s="149">
        <f>D11+D15+D16</f>
        <v>0</v>
      </c>
      <c r="E19" s="164">
        <f>E11+E15+E16</f>
        <v>1474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>
        <v>46</v>
      </c>
      <c r="D21" s="153"/>
      <c r="E21" s="166">
        <f t="shared" si="0"/>
        <v>46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702</v>
      </c>
      <c r="D24" s="165">
        <f>SUM(D25:D27)</f>
        <v>702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>
        <v>702</v>
      </c>
      <c r="D27" s="153">
        <v>702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>
        <v>1163</v>
      </c>
      <c r="D28" s="153">
        <v>1163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>
        <v>2396</v>
      </c>
      <c r="D31" s="153">
        <v>2396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15315</v>
      </c>
      <c r="D38" s="150">
        <f>SUM(D39:D42)</f>
        <v>15315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>
        <v>15315</v>
      </c>
      <c r="D42" s="153">
        <v>15315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19576</v>
      </c>
      <c r="D43" s="149">
        <f>D24+D28+D29+D31+D30+D32+D33+D38</f>
        <v>19576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21096</v>
      </c>
      <c r="D44" s="148">
        <f>D43+D21+D19+D9</f>
        <v>19576</v>
      </c>
      <c r="E44" s="164">
        <f>E43+E21+E19+E9</f>
        <v>1520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36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75</v>
      </c>
      <c r="D56" s="148">
        <f>D57+D59</f>
        <v>75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>
        <v>75</v>
      </c>
      <c r="D59" s="153">
        <v>75</v>
      </c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>
        <v>9</v>
      </c>
      <c r="D64" s="153">
        <v>9</v>
      </c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84</v>
      </c>
      <c r="D66" s="148">
        <f>D52+D56+D61+D62+D63+D64</f>
        <v>84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809</v>
      </c>
      <c r="D85" s="149">
        <f>SUM(D86:D90)+D94</f>
        <v>809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>
        <v>555</v>
      </c>
      <c r="D87" s="153">
        <v>555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189</v>
      </c>
      <c r="D89" s="153">
        <v>189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28</v>
      </c>
      <c r="D90" s="148">
        <f>SUM(D91:D93)</f>
        <v>28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>
        <v>14</v>
      </c>
      <c r="D92" s="153">
        <v>14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>
        <v>14</v>
      </c>
      <c r="D93" s="153">
        <v>14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>
        <v>37</v>
      </c>
      <c r="D94" s="153">
        <v>37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>
        <v>433</v>
      </c>
      <c r="D95" s="153">
        <v>433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1242</v>
      </c>
      <c r="D96" s="149">
        <f>D85+D80+D75+D71+D95</f>
        <v>1242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1326</v>
      </c>
      <c r="D97" s="149">
        <f>D96+D68+D66</f>
        <v>1326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E33" sqref="E33"/>
    </sheetView>
  </sheetViews>
  <sheetFormatPr defaultColWidth="9.00390625" defaultRowHeight="12.75"/>
  <cols>
    <col min="1" max="1" width="52.625" style="106" customWidth="1"/>
    <col min="2" max="2" width="9.125" style="14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Деспред АД</v>
      </c>
      <c r="D4" s="628"/>
      <c r="E4" s="628"/>
      <c r="F4" s="578"/>
      <c r="G4" s="580" t="s">
        <v>2</v>
      </c>
      <c r="H4" s="580"/>
      <c r="I4" s="589">
        <f>'справка №1-БАЛАНС'!H3</f>
        <v>121018593</v>
      </c>
    </row>
    <row r="5" spans="1:9" ht="15">
      <c r="A5" s="522" t="s">
        <v>5</v>
      </c>
      <c r="B5" s="579"/>
      <c r="C5" s="606" t="str">
        <f>'справка №1-БАЛАНС'!E5</f>
        <v>31.12.2009г.</v>
      </c>
      <c r="D5" s="637"/>
      <c r="E5" s="637"/>
      <c r="F5" s="579"/>
      <c r="G5" s="354" t="s">
        <v>4</v>
      </c>
      <c r="H5" s="581"/>
      <c r="I5" s="588" t="str">
        <f>'справка №1-БАЛАНС'!H4</f>
        <v>05-277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>
        <v>33300</v>
      </c>
      <c r="D12" s="141"/>
      <c r="E12" s="141"/>
      <c r="F12" s="141">
        <v>160</v>
      </c>
      <c r="G12" s="141"/>
      <c r="H12" s="141"/>
      <c r="I12" s="541">
        <f>F12+G12-H12</f>
        <v>160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33300</v>
      </c>
      <c r="D17" s="127">
        <f t="shared" si="1"/>
        <v>0</v>
      </c>
      <c r="E17" s="127">
        <f t="shared" si="1"/>
        <v>0</v>
      </c>
      <c r="F17" s="127">
        <f t="shared" si="1"/>
        <v>160</v>
      </c>
      <c r="G17" s="127">
        <f t="shared" si="1"/>
        <v>0</v>
      </c>
      <c r="H17" s="127">
        <f t="shared" si="1"/>
        <v>0</v>
      </c>
      <c r="I17" s="541">
        <f t="shared" si="0"/>
        <v>160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">
      <selection activeCell="D100" sqref="D100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625" style="51" customWidth="1"/>
    <col min="4" max="4" width="20.125" style="51" customWidth="1"/>
    <col min="5" max="5" width="23.625" style="51" customWidth="1"/>
    <col min="6" max="6" width="19.625" style="51" customWidth="1"/>
    <col min="7" max="16384" width="10.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Деспред АД</v>
      </c>
      <c r="C5" s="627"/>
      <c r="D5" s="587"/>
      <c r="E5" s="353" t="s">
        <v>2</v>
      </c>
      <c r="F5" s="590">
        <f>'справка №1-БАЛАНС'!H3</f>
        <v>121018593</v>
      </c>
    </row>
    <row r="6" spans="1:13" ht="15" customHeight="1">
      <c r="A6" s="54" t="s">
        <v>825</v>
      </c>
      <c r="B6" s="606" t="str">
        <f>'справка №1-БАЛАНС'!E5</f>
        <v>31.12.2009г.</v>
      </c>
      <c r="C6" s="637"/>
      <c r="D6" s="55"/>
      <c r="E6" s="354" t="s">
        <v>4</v>
      </c>
      <c r="F6" s="591" t="str">
        <f>'справка №1-БАЛАНС'!H4</f>
        <v>05-277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63.75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 t="s">
        <v>868</v>
      </c>
      <c r="B46" s="70"/>
      <c r="C46" s="550">
        <v>57</v>
      </c>
      <c r="D46" s="550">
        <v>25</v>
      </c>
      <c r="E46" s="550"/>
      <c r="F46" s="552">
        <f>C46-E46</f>
        <v>57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57</v>
      </c>
      <c r="D61" s="536"/>
      <c r="E61" s="536">
        <f>SUM(E46:E60)</f>
        <v>0</v>
      </c>
      <c r="F61" s="551">
        <f>SUM(F46:F60)</f>
        <v>57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869</v>
      </c>
      <c r="B63" s="70"/>
      <c r="C63" s="550">
        <v>50</v>
      </c>
      <c r="D63" s="550">
        <v>3</v>
      </c>
      <c r="E63" s="550"/>
      <c r="F63" s="552">
        <f>C63-E63</f>
        <v>50</v>
      </c>
    </row>
    <row r="64" spans="1:6" ht="12.75">
      <c r="A64" s="66" t="s">
        <v>870</v>
      </c>
      <c r="B64" s="70"/>
      <c r="C64" s="550">
        <v>14</v>
      </c>
      <c r="D64" s="550">
        <v>0</v>
      </c>
      <c r="E64" s="550"/>
      <c r="F64" s="552">
        <f aca="true" t="shared" si="3" ref="F64:F77">C64-E64</f>
        <v>14</v>
      </c>
    </row>
    <row r="65" spans="1:6" ht="12.75">
      <c r="A65" s="66" t="s">
        <v>871</v>
      </c>
      <c r="B65" s="70"/>
      <c r="C65" s="550">
        <v>96</v>
      </c>
      <c r="D65" s="550">
        <v>1</v>
      </c>
      <c r="E65" s="550"/>
      <c r="F65" s="552">
        <f t="shared" si="3"/>
        <v>96</v>
      </c>
    </row>
    <row r="66" spans="1:6" ht="12.75">
      <c r="A66" s="66" t="s">
        <v>872</v>
      </c>
      <c r="B66" s="70"/>
      <c r="C66" s="550">
        <v>0</v>
      </c>
      <c r="D66" s="550">
        <v>0</v>
      </c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160</v>
      </c>
      <c r="D78" s="536"/>
      <c r="E78" s="536">
        <f>SUM(E63:E77)</f>
        <v>0</v>
      </c>
      <c r="F78" s="551">
        <f>SUM(F63:F77)</f>
        <v>160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217</v>
      </c>
      <c r="D79" s="536"/>
      <c r="E79" s="536">
        <f>E78+E61+E44+E27</f>
        <v>0</v>
      </c>
      <c r="F79" s="551">
        <f>F78+F61+F44+F27</f>
        <v>217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/>
      <c r="B82" s="70"/>
      <c r="C82" s="550"/>
      <c r="D82" s="550"/>
      <c r="E82" s="550"/>
      <c r="F82" s="552">
        <f>C82-E82</f>
        <v>0</v>
      </c>
    </row>
    <row r="83" spans="1:6" ht="12.75">
      <c r="A83" s="66"/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544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43 C46:F60 C63:F77 C82:F96 C99:F113 C116:F130 C133:F147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</cp:lastModifiedBy>
  <cp:lastPrinted>2010-01-29T07:34:43Z</cp:lastPrinted>
  <dcterms:created xsi:type="dcterms:W3CDTF">2000-06-29T12:02:40Z</dcterms:created>
  <dcterms:modified xsi:type="dcterms:W3CDTF">2010-01-29T07:42:14Z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